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SAFE Funds\"/>
    </mc:Choice>
  </mc:AlternateContent>
  <xr:revisionPtr revIDLastSave="0" documentId="13_ncr:1_{88146EC1-1D1A-47B0-8AF6-A1A604AE7551}" xr6:coauthVersionLast="47" xr6:coauthVersionMax="47" xr10:uidLastSave="{00000000-0000-0000-0000-000000000000}"/>
  <bookViews>
    <workbookView xWindow="-120" yWindow="-120" windowWidth="29040" windowHeight="15840" activeTab="1" xr2:uid="{09675E99-315F-4B19-9ADE-9EA6E247B5AB}"/>
  </bookViews>
  <sheets>
    <sheet name="WKY" sheetId="1" r:id="rId1"/>
    <sheet name="EKY" sheetId="2" r:id="rId2"/>
    <sheet name="Denied" sheetId="3" r:id="rId3"/>
  </sheets>
  <definedNames>
    <definedName name="_xlnm.Print_Titles" localSheetId="1">EKY!$A:$A,EKY!$11:$14</definedName>
    <definedName name="_xlnm.Print_Titles" localSheetId="0">WKY!$A:$A,WKY!$1:$6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2" l="1"/>
  <c r="H40" i="2" l="1"/>
  <c r="B40" i="1"/>
  <c r="F40" i="1"/>
  <c r="E40" i="1"/>
  <c r="B28" i="1" l="1"/>
  <c r="B24" i="1"/>
  <c r="D18" i="2"/>
  <c r="G19" i="2"/>
  <c r="B19" i="2"/>
  <c r="B32" i="2"/>
  <c r="H41" i="2"/>
  <c r="B41" i="2"/>
  <c r="H20" i="2"/>
  <c r="B20" i="2"/>
  <c r="D29" i="2"/>
  <c r="B29" i="2"/>
  <c r="B24" i="2" l="1"/>
  <c r="B18" i="2"/>
  <c r="B17" i="2"/>
  <c r="D38" i="2" l="1"/>
  <c r="B31" i="2"/>
  <c r="J42" i="1" l="1"/>
  <c r="I42" i="1"/>
  <c r="H42" i="1"/>
  <c r="G42" i="1"/>
  <c r="B48" i="1" l="1"/>
  <c r="B3" i="1"/>
  <c r="B12" i="1"/>
  <c r="D23" i="2"/>
  <c r="B23" i="2"/>
  <c r="B4" i="2" l="1"/>
  <c r="B9" i="2" s="1"/>
  <c r="D53" i="2"/>
  <c r="B53" i="2"/>
  <c r="B54" i="2" s="1"/>
  <c r="B30" i="2"/>
  <c r="B64" i="2"/>
  <c r="B14" i="2"/>
  <c r="H69" i="2"/>
  <c r="B69" i="2"/>
  <c r="B71" i="2" s="1"/>
  <c r="B72" i="2" s="1"/>
  <c r="E15" i="2" l="1"/>
  <c r="B38" i="2"/>
  <c r="B35" i="2"/>
  <c r="H43" i="2"/>
  <c r="G43" i="2"/>
  <c r="B15" i="2"/>
  <c r="E29" i="2"/>
  <c r="F43" i="2"/>
  <c r="B10" i="1" l="1"/>
  <c r="L14" i="1"/>
  <c r="L41" i="1"/>
  <c r="L40" i="1"/>
  <c r="L39" i="1"/>
  <c r="L37" i="1"/>
  <c r="L36" i="1"/>
  <c r="L35" i="1"/>
  <c r="L34" i="1"/>
  <c r="L32" i="1"/>
  <c r="L30" i="1"/>
  <c r="L28" i="1"/>
  <c r="L27" i="1"/>
  <c r="L25" i="1"/>
  <c r="L24" i="1"/>
  <c r="L21" i="1"/>
  <c r="L20" i="1"/>
  <c r="L17" i="1"/>
  <c r="L15" i="1"/>
  <c r="L10" i="1"/>
  <c r="L9" i="1"/>
  <c r="L8" i="1"/>
  <c r="E38" i="1"/>
  <c r="F33" i="1"/>
  <c r="K33" i="1"/>
  <c r="E33" i="1"/>
  <c r="B31" i="1"/>
  <c r="F31" i="1"/>
  <c r="E31" i="1"/>
  <c r="E29" i="1"/>
  <c r="D29" i="1"/>
  <c r="F29" i="1"/>
  <c r="K26" i="1"/>
  <c r="F26" i="1"/>
  <c r="D26" i="1"/>
  <c r="E26" i="1"/>
  <c r="K23" i="1"/>
  <c r="D23" i="1"/>
  <c r="E23" i="1"/>
  <c r="D19" i="1"/>
  <c r="D42" i="1" s="1"/>
  <c r="E19" i="1"/>
  <c r="F19" i="1"/>
  <c r="K16" i="1"/>
  <c r="E16" i="1"/>
  <c r="E42" i="1" l="1"/>
  <c r="K42" i="1"/>
  <c r="F42" i="1"/>
  <c r="L31" i="1"/>
  <c r="L33" i="1"/>
  <c r="L26" i="1"/>
  <c r="L23" i="1"/>
  <c r="B59" i="2"/>
  <c r="E21" i="2"/>
  <c r="D31" i="2"/>
  <c r="D43" i="2" s="1"/>
  <c r="E43" i="2" l="1"/>
  <c r="B29" i="1" l="1"/>
  <c r="L29" i="1" s="1"/>
  <c r="B42" i="2"/>
  <c r="B21" i="2" l="1"/>
  <c r="B38" i="1" l="1"/>
  <c r="L38" i="1" s="1"/>
  <c r="B16" i="1"/>
  <c r="L16" i="1" l="1"/>
  <c r="B43" i="2" l="1"/>
  <c r="B19" i="1"/>
  <c r="L19" i="1" l="1"/>
  <c r="B42" i="1"/>
  <c r="B44" i="2"/>
  <c r="L42" i="1" l="1"/>
  <c r="B43" i="1"/>
  <c r="L43" i="1" l="1"/>
</calcChain>
</file>

<file path=xl/sharedStrings.xml><?xml version="1.0" encoding="utf-8"?>
<sst xmlns="http://schemas.openxmlformats.org/spreadsheetml/2006/main" count="239" uniqueCount="177">
  <si>
    <t>Recipient</t>
  </si>
  <si>
    <t>Amount</t>
  </si>
  <si>
    <t>Description of How</t>
  </si>
  <si>
    <t>Money Used</t>
  </si>
  <si>
    <t>Hopkins County Fiscal Court</t>
  </si>
  <si>
    <t>Caldwell County</t>
  </si>
  <si>
    <t>Marshall County Fiscal Court</t>
  </si>
  <si>
    <t>Graves County Fiscal Court</t>
  </si>
  <si>
    <t>Hickman County Fiscal Court</t>
  </si>
  <si>
    <t>Bowling Green Independent School District</t>
  </si>
  <si>
    <t>Fulton County Fiscal Court</t>
  </si>
  <si>
    <t>Lyon County Fiscal Court</t>
  </si>
  <si>
    <t>Christian County Fiscal Court</t>
  </si>
  <si>
    <t>Hopkins County Health Department</t>
  </si>
  <si>
    <t>Mayfield Electric and Water Systems</t>
  </si>
  <si>
    <t>Muhlenberg County Fiscal Court</t>
  </si>
  <si>
    <t>Ohio County Fiscal Court</t>
  </si>
  <si>
    <t>Taylor County Fiscal Court</t>
  </si>
  <si>
    <t>West Kentucky Rural Electric Cooperative</t>
  </si>
  <si>
    <t>Local share of damage costs claimed with FEMA</t>
  </si>
  <si>
    <t>Local share of damage costs claimed with FEMA, direct personnel costs, tree replacement, removal of stumps and trees, utility aid, other direct city costs</t>
  </si>
  <si>
    <t>Local share of damage costs claimed with FEMA, strained fiscal liquidity, debris removal costs ineligible for FEMA claims, ditch and culvert repair</t>
  </si>
  <si>
    <t>Nursing services, COVID tests, food inspections, formula</t>
  </si>
  <si>
    <t>Local share of damage costs claimed with FEMA, strained fiscal liquidity</t>
  </si>
  <si>
    <t>Local share of damage costs claimed with FEMA, debris removal costs ineligible for FEMA claims</t>
  </si>
  <si>
    <t>Local share of damage costs claimed with FEMA, land surveying</t>
  </si>
  <si>
    <t>Strained fiscal liquidity, local share of damage costs claimed with FEMA, debris removal costs ineligible for FEMA claims, heavy equipment for debris removal operations</t>
  </si>
  <si>
    <t>Salt River Rural Electric Cooperative</t>
  </si>
  <si>
    <t>Pole replacements, repairing other damage ineligible for FEMA claims</t>
  </si>
  <si>
    <t>North Marshall Water District</t>
  </si>
  <si>
    <t>Princeton Electric Plant Board</t>
  </si>
  <si>
    <t>Murray State University</t>
  </si>
  <si>
    <t>Local share of damage costs claimed with FEMA, debris removal costs ineligible for FEMA claims, paving cost ineligible for FEMA claims, strained fiscal liquidity</t>
  </si>
  <si>
    <t>Marshall County Refuse District</t>
  </si>
  <si>
    <t>Repair of entity's road damaged by debris hauling trucks</t>
  </si>
  <si>
    <t>Repair of damaged underground lines ineligible for FEMA claims</t>
  </si>
  <si>
    <t>Grain and Forage Center of Excellence</t>
  </si>
  <si>
    <t xml:space="preserve">Purchase of 200 travel trailers and costs of haulting, utility hook-ups, and related costs, campground upgrades </t>
  </si>
  <si>
    <t>West Ky SAFE Fund</t>
  </si>
  <si>
    <t>Knott County Water and Sewer District</t>
  </si>
  <si>
    <t>Letcher County Fiscal Court</t>
  </si>
  <si>
    <t>Letcher County Water and Sewer District</t>
  </si>
  <si>
    <t>Strained fiscal liquidity</t>
  </si>
  <si>
    <t>Knott County Fiscal Court</t>
  </si>
  <si>
    <t>Princeton Water and Wastewater System</t>
  </si>
  <si>
    <t>Emergency Management-Military Affairs</t>
  </si>
  <si>
    <t>Paintsville Utilities</t>
  </si>
  <si>
    <t>Perry County  Fiscal Court</t>
  </si>
  <si>
    <t>Pike County Fiscal Court</t>
  </si>
  <si>
    <t>East Ky SAFE Fund</t>
  </si>
  <si>
    <t>Strained fiscal liquidity, local share of damage costs claimed with FEMA</t>
  </si>
  <si>
    <t>Local share of damage costs claimed with FEMA, strained fiscal liquidity, debris removal costs ineligible for FEMA claims, road and ditch/culvert repairs</t>
  </si>
  <si>
    <t>Princeton, City of</t>
  </si>
  <si>
    <t>Mayfield, City of</t>
  </si>
  <si>
    <t>Benton, City of</t>
  </si>
  <si>
    <t>Bowling Green, City of</t>
  </si>
  <si>
    <t>Dawson Springs, City of</t>
  </si>
  <si>
    <t>Hazard, City of</t>
  </si>
  <si>
    <t>Awarded</t>
  </si>
  <si>
    <t>Paintsville, City of</t>
  </si>
  <si>
    <t>Knott County Board of Education</t>
  </si>
  <si>
    <t>Letcher County Board of Education</t>
  </si>
  <si>
    <t>Strained fiscal liquidity, floodplain coordinator, engineer, local share of damage costs claimed with FEMA</t>
  </si>
  <si>
    <t>Local share of damage costs claimed with FEMA, underground water and sewer line repairs ineligible for FEMA claims</t>
  </si>
  <si>
    <t>Floyd County Fiscal Court</t>
  </si>
  <si>
    <t>Strained fiscal liquidity, floodplain coordinator, local share of damage costs claimed with FEMA</t>
  </si>
  <si>
    <t>Appropriations</t>
  </si>
  <si>
    <t>Unawarded Balance</t>
  </si>
  <si>
    <t>Jenkins, City of</t>
  </si>
  <si>
    <t>Hindman, City of</t>
  </si>
  <si>
    <t>Johnson County Fiscal Court</t>
  </si>
  <si>
    <t>Magoffin County Fiscal Court</t>
  </si>
  <si>
    <t>Finance and Administration Cabinet</t>
  </si>
  <si>
    <t>Transportation Cabinet</t>
  </si>
  <si>
    <t>Whitesburg, City of</t>
  </si>
  <si>
    <t>Floodplain consultant; local share of damage costs claimed with FEMA</t>
  </si>
  <si>
    <t>Fleming Neon, City of</t>
  </si>
  <si>
    <t>Floodplain coordinator, local share of damage costs claimed with FEMA, and strained fiscal liquidity.</t>
  </si>
  <si>
    <t>Magoffin County Water District</t>
  </si>
  <si>
    <t>Mountain Water District, Pike County</t>
  </si>
  <si>
    <t>Buckhorn, Village of</t>
  </si>
  <si>
    <t>Jackson, City of</t>
  </si>
  <si>
    <t>Long-term recovery planner in concert with Breathitt County</t>
  </si>
  <si>
    <t>Local share of damage costs claimed with FEMA, debris removal costs ineligible for FEMA claims, strained fiscal liquidity, road damage repairs ineligible for FEMA claims.</t>
  </si>
  <si>
    <t>SAFE Fund – Denied applications:</t>
  </si>
  <si>
    <t>Western Kentucky SAFE Fund:</t>
  </si>
  <si>
    <t>Western Kentucky Rural Electric Cooperative – sought funding for equipment that was not damaged by the storm.</t>
  </si>
  <si>
    <r>
      <rPr>
        <b/>
        <sz val="11"/>
        <color theme="1"/>
        <rFont val="Arial"/>
        <family val="2"/>
      </rPr>
      <t>Eastern Kentucky SAFE Fund</t>
    </r>
    <r>
      <rPr>
        <sz val="11"/>
        <color theme="1"/>
        <rFont val="Arial"/>
        <family val="2"/>
      </rPr>
      <t xml:space="preserve"> – no applications have been denied</t>
    </r>
  </si>
  <si>
    <t>Actions through February 28, 2023</t>
  </si>
  <si>
    <t>Jackson Energy Cooperative</t>
  </si>
  <si>
    <t>Local</t>
  </si>
  <si>
    <t>Share of</t>
  </si>
  <si>
    <t xml:space="preserve">FEMA </t>
  </si>
  <si>
    <t>High-Ground</t>
  </si>
  <si>
    <t>Sites</t>
  </si>
  <si>
    <t>Floodplain</t>
  </si>
  <si>
    <t>Planning</t>
  </si>
  <si>
    <t>Other</t>
  </si>
  <si>
    <t>Check</t>
  </si>
  <si>
    <t>Strained</t>
  </si>
  <si>
    <t xml:space="preserve">Fiscal </t>
  </si>
  <si>
    <t>Liquidity</t>
  </si>
  <si>
    <t>House Bill 1 - Section 4 Balance</t>
  </si>
  <si>
    <t>Total Awards-House Bill 1 - Section 4</t>
  </si>
  <si>
    <t>Transportation Cabinet-Highways</t>
  </si>
  <si>
    <t>Obligations To-date</t>
  </si>
  <si>
    <t>House Bill 1-Section 7</t>
  </si>
  <si>
    <t>House Bill 1-Section 7 Balance</t>
  </si>
  <si>
    <t>Military Affairs-Emergency Management</t>
  </si>
  <si>
    <t xml:space="preserve">  House Bill 1 - Section 5</t>
  </si>
  <si>
    <t xml:space="preserve">  House Bill 1 - Section 7</t>
  </si>
  <si>
    <t xml:space="preserve">  House Bill 1 - Section 9</t>
  </si>
  <si>
    <t>Excludes $40,000,000 to Dept of Education</t>
  </si>
  <si>
    <t xml:space="preserve">Military Affairs-Emergency Management-Strained Fiscal Liquidity for School Districts &amp; nonprofit or public utility service providers </t>
  </si>
  <si>
    <t>Transportation-Highways for non-federal share of FEMA-eligible state road and bridge projects</t>
  </si>
  <si>
    <t>ARPA funds for water and sewer infrastructure projects necessary for recovery, rebuilding of replacement school buildings, and new housing sites</t>
  </si>
  <si>
    <t>Purpose</t>
  </si>
  <si>
    <t>ARPA Funds-Water and Sewer Infrastructure</t>
  </si>
  <si>
    <t>House Bill 1-Section 9</t>
  </si>
  <si>
    <t>Ineligible</t>
  </si>
  <si>
    <t>Debris</t>
  </si>
  <si>
    <t>Travel</t>
  </si>
  <si>
    <t>Trailers</t>
  </si>
  <si>
    <t>FEMA-</t>
  </si>
  <si>
    <t>Community</t>
  </si>
  <si>
    <t>Water/Sewer</t>
  </si>
  <si>
    <t>University of Kentucky</t>
  </si>
  <si>
    <t>Universities Total</t>
  </si>
  <si>
    <t>Universities</t>
  </si>
  <si>
    <t>Housing, facilities, staffing costs for storm related purposes</t>
  </si>
  <si>
    <t>Total Appropriations E Ky SAFE Fund</t>
  </si>
  <si>
    <t>Booneville, City of</t>
  </si>
  <si>
    <t>Strained fiscal liquidity; equipment for recovery</t>
  </si>
  <si>
    <t>Dawson Springs Independent Schools – sought funding for revenue loss prior to the amendments to the SAFE Fund by the 2022 Special</t>
  </si>
  <si>
    <t>fire equipment for a volunteer fire department that isn’t a part of the county government; therefore, not an eligible entity under the statute.</t>
  </si>
  <si>
    <t>Fulton County – 1) sought funding for a fire station generator that was not damaged by the storm, 2) sought funding for the replacement of</t>
  </si>
  <si>
    <t>The entity is applying to FEMA.</t>
  </si>
  <si>
    <t>Graves County – sought funding for a non-profit entity to construct a homeless shelter; therefore, not an eligible entity under the statute.</t>
  </si>
  <si>
    <t>Breathitt County Fiscal Court</t>
  </si>
  <si>
    <t>Breathitt County School District</t>
  </si>
  <si>
    <t>Clay County Fiscal Court</t>
  </si>
  <si>
    <t>Travel Trailers, eligible and ineligible private property debris removal on behalf of Letcher, Knott, Pike, and Perry counties.</t>
  </si>
  <si>
    <t>Kentucky Infrastructure Authority</t>
  </si>
  <si>
    <t>Owsley County Fiscal Court</t>
  </si>
  <si>
    <t>Bowling Green Municipal Utilities</t>
  </si>
  <si>
    <t>After $10m transfer to Rural Housing Trust Fund</t>
  </si>
  <si>
    <t>Rural Housing Assistance Trust Fund</t>
  </si>
  <si>
    <t>HB 448-Section Balance</t>
  </si>
  <si>
    <t>Strained Fiscal Liquidity-Schools &amp; Utilities</t>
  </si>
  <si>
    <t>Total Awards-House Bill 1-Section 5</t>
  </si>
  <si>
    <t>House Bill 1-Section 5 Balance</t>
  </si>
  <si>
    <t>House Bill 1-Section 5 (as amended by SB 99 23RS)</t>
  </si>
  <si>
    <t>House Bill 1-Section 4 (as amended by SB 99 23RS)</t>
  </si>
  <si>
    <t>(as modified by HB 448, Sec. 14 (23RS)</t>
  </si>
  <si>
    <t>Excludes $25 million for Economic Dev's and $30 million for Dept of Education</t>
  </si>
  <si>
    <t>HB 448 (23RS)-Section 14</t>
  </si>
  <si>
    <t xml:space="preserve">  House Bill 1-Section 4,HB 448-Section 13(23RS)</t>
  </si>
  <si>
    <t>Reserved for High-Ground Sites</t>
  </si>
  <si>
    <t>Actions through April 30, 2023</t>
  </si>
  <si>
    <t>HB 448-Section 13, HB 360-Secs. 29-34, (23RS)</t>
  </si>
  <si>
    <t xml:space="preserve">  HB 448-Section 13, HB 360-Secs. 29-34, (23RS)</t>
  </si>
  <si>
    <t>Equipment to use in debris cleanup and other recovery efforts. Strained fiscal liquidity.</t>
  </si>
  <si>
    <t xml:space="preserve">Strained fiscal liquidity, local share of damage costs claimed with FEMA, floodplain planning. </t>
  </si>
  <si>
    <t>Property appraisal for one property. Title search and geotech investigations for two other potential high-ground rebuilding sites. High-ground site program manager.</t>
  </si>
  <si>
    <t>Right-of-way expenses for Knott County-Olive Branch community road project. Local share of damage costs claimed with FEMA for county bridge repairs. Right-of-way, utility relocation expenses for Perry County-Skyview community road project. Knott County-Chestnut Ridge temporary road to high-ground site.</t>
  </si>
  <si>
    <t xml:space="preserve">Floodplain coordinator; local share of damage costs claimed with FEMA. </t>
  </si>
  <si>
    <t>Matching funds for ARC grant for water/sewer service to Marlowe property high-ground site.</t>
  </si>
  <si>
    <t>High-ground site water and wastewater infrastructure in Letcher County-Olive Branch site.</t>
  </si>
  <si>
    <t>Total Awards-House Bill 1-Section 9</t>
  </si>
  <si>
    <t>Session, which now permits it with specific conditions on timeframe and amount. Sought funding for software.</t>
  </si>
  <si>
    <t>Dawson Spring Indpendent Schools</t>
  </si>
  <si>
    <t>Revenue loss.</t>
  </si>
  <si>
    <t>Revenue</t>
  </si>
  <si>
    <t>Loss</t>
  </si>
  <si>
    <t>Local share of damage costs claimed with FEMA. Repair of roads damaged by post-disaster response.</t>
  </si>
  <si>
    <t>Local share of damage costs claimed with FEMA, strained fiscal liquidity. Repair of roads damaged by post-disaster response.</t>
  </si>
  <si>
    <t>Reserved for High-ground sites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</si>
</sst>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164" formatCode="&quot;$&quot;#,##0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5" fontId="1" fillId="0" borderId="0" xfId="0" applyNumberFormat="1" applyFont="1"/>
    <xf numFmtId="5" fontId="2" fillId="0" borderId="0" xfId="0" applyNumberFormat="1" applyFont="1" applyAlignment="1">
      <alignment horizontal="center"/>
    </xf>
    <xf numFmtId="0" fontId="3" fillId="0" borderId="0" xfId="0" applyFont="1"/>
    <xf numFmtId="49" fontId="1" fillId="0" borderId="0" xfId="0" applyNumberFormat="1" applyFont="1" applyAlignment="1">
      <alignment horizontal="left" wrapText="1"/>
    </xf>
    <xf numFmtId="49" fontId="1" fillId="0" borderId="0" xfId="0" applyNumberFormat="1" applyFont="1" applyFill="1" applyAlignment="1">
      <alignment horizontal="left" wrapText="1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 wrapText="1"/>
    </xf>
    <xf numFmtId="5" fontId="1" fillId="0" borderId="0" xfId="0" applyNumberFormat="1" applyFont="1" applyFill="1"/>
    <xf numFmtId="5" fontId="1" fillId="0" borderId="0" xfId="0" applyNumberFormat="1" applyFont="1" applyFill="1" applyAlignment="1">
      <alignment vertical="center"/>
    </xf>
    <xf numFmtId="5" fontId="2" fillId="0" borderId="0" xfId="0" applyNumberFormat="1" applyFont="1"/>
    <xf numFmtId="5" fontId="1" fillId="0" borderId="1" xfId="0" applyNumberFormat="1" applyFont="1" applyBorder="1"/>
    <xf numFmtId="0" fontId="1" fillId="0" borderId="0" xfId="0" applyFont="1" applyFill="1" applyAlignment="1">
      <alignment horizontal="left" vertical="center"/>
    </xf>
    <xf numFmtId="0" fontId="1" fillId="0" borderId="0" xfId="0" applyFont="1" applyBorder="1"/>
    <xf numFmtId="5" fontId="1" fillId="0" borderId="0" xfId="0" applyNumberFormat="1" applyFont="1" applyBorder="1"/>
    <xf numFmtId="49" fontId="1" fillId="0" borderId="0" xfId="0" applyNumberFormat="1" applyFont="1" applyBorder="1" applyAlignment="1">
      <alignment horizontal="left" wrapText="1"/>
    </xf>
    <xf numFmtId="164" fontId="1" fillId="0" borderId="0" xfId="0" applyNumberFormat="1" applyFont="1" applyBorder="1"/>
    <xf numFmtId="5" fontId="2" fillId="0" borderId="0" xfId="0" applyNumberFormat="1" applyFont="1" applyBorder="1"/>
    <xf numFmtId="164" fontId="1" fillId="0" borderId="0" xfId="0" applyNumberFormat="1" applyFont="1" applyBorder="1" applyAlignment="1">
      <alignment horizontal="left" wrapText="1"/>
    </xf>
    <xf numFmtId="0" fontId="2" fillId="0" borderId="0" xfId="0" applyFont="1" applyBorder="1"/>
    <xf numFmtId="5" fontId="1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left" wrapText="1"/>
    </xf>
    <xf numFmtId="0" fontId="1" fillId="0" borderId="0" xfId="0" applyFont="1" applyBorder="1" applyAlignment="1">
      <alignment horizontal="left" vertical="center"/>
    </xf>
    <xf numFmtId="5" fontId="1" fillId="0" borderId="0" xfId="0" applyNumberFormat="1" applyFont="1" applyFill="1" applyBorder="1"/>
    <xf numFmtId="0" fontId="2" fillId="0" borderId="0" xfId="0" applyFont="1" applyBorder="1" applyAlignment="1">
      <alignment horizontal="left" vertical="center"/>
    </xf>
    <xf numFmtId="5" fontId="1" fillId="0" borderId="1" xfId="0" applyNumberFormat="1" applyFont="1" applyFill="1" applyBorder="1"/>
    <xf numFmtId="5" fontId="1" fillId="0" borderId="1" xfId="0" applyNumberFormat="1" applyFont="1" applyFill="1" applyBorder="1" applyAlignment="1">
      <alignment vertical="center"/>
    </xf>
    <xf numFmtId="5" fontId="2" fillId="0" borderId="0" xfId="0" applyNumberFormat="1" applyFont="1" applyFill="1" applyBorder="1" applyAlignment="1">
      <alignment vertical="center"/>
    </xf>
    <xf numFmtId="5" fontId="2" fillId="0" borderId="1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5" fontId="2" fillId="0" borderId="0" xfId="0" applyNumberFormat="1" applyFont="1" applyFill="1" applyBorder="1"/>
    <xf numFmtId="0" fontId="2" fillId="0" borderId="0" xfId="0" applyFont="1" applyBorder="1" applyAlignment="1">
      <alignment vertical="center"/>
    </xf>
    <xf numFmtId="5" fontId="2" fillId="0" borderId="0" xfId="0" applyNumberFormat="1" applyFont="1" applyFill="1"/>
    <xf numFmtId="5" fontId="2" fillId="0" borderId="0" xfId="0" applyNumberFormat="1" applyFont="1" applyFill="1" applyAlignment="1">
      <alignment horizontal="center"/>
    </xf>
    <xf numFmtId="49" fontId="2" fillId="0" borderId="0" xfId="0" applyNumberFormat="1" applyFont="1" applyAlignment="1">
      <alignment horizontal="center" wrapText="1"/>
    </xf>
    <xf numFmtId="165" fontId="2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/>
    <xf numFmtId="0" fontId="0" fillId="0" borderId="0" xfId="0" applyFill="1" applyBorder="1"/>
    <xf numFmtId="0" fontId="2" fillId="0" borderId="0" xfId="0" applyFont="1" applyFill="1" applyBorder="1"/>
    <xf numFmtId="49" fontId="2" fillId="0" borderId="0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vertical="center"/>
    </xf>
    <xf numFmtId="5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vertical="center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/>
    <xf numFmtId="5" fontId="2" fillId="0" borderId="2" xfId="0" applyNumberFormat="1" applyFont="1" applyFill="1" applyBorder="1"/>
    <xf numFmtId="0" fontId="1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/>
    <xf numFmtId="164" fontId="1" fillId="0" borderId="0" xfId="0" applyNumberFormat="1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vertical="center"/>
    </xf>
    <xf numFmtId="5" fontId="2" fillId="0" borderId="2" xfId="0" applyNumberFormat="1" applyFont="1" applyFill="1" applyBorder="1" applyAlignment="1">
      <alignment vertical="center"/>
    </xf>
    <xf numFmtId="5" fontId="2" fillId="0" borderId="0" xfId="0" applyNumberFormat="1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190EB-7839-4010-96F7-ADBF312FCF90}">
  <dimension ref="A1:L57"/>
  <sheetViews>
    <sheetView zoomScale="90" zoomScaleNormal="90" workbookViewId="0">
      <pane xSplit="1" ySplit="6" topLeftCell="B27" activePane="bottomRight" state="frozen"/>
      <selection pane="topRight" activeCell="B1" sqref="B1"/>
      <selection pane="bottomLeft" activeCell="A7" sqref="A7"/>
      <selection pane="bottomRight" activeCell="B15" sqref="B15:B41"/>
    </sheetView>
  </sheetViews>
  <sheetFormatPr defaultColWidth="8.7109375" defaultRowHeight="14.25" x14ac:dyDescent="0.2"/>
  <cols>
    <col min="1" max="1" width="40.7109375" style="1" customWidth="1"/>
    <col min="2" max="2" width="14.42578125" style="4" bestFit="1" customWidth="1"/>
    <col min="3" max="3" width="57" style="7" customWidth="1"/>
    <col min="4" max="6" width="14.42578125" style="4" bestFit="1" customWidth="1"/>
    <col min="7" max="7" width="14.42578125" style="4" customWidth="1"/>
    <col min="8" max="11" width="14.42578125" style="4" bestFit="1" customWidth="1"/>
    <col min="12" max="12" width="13.28515625" style="1" hidden="1" customWidth="1"/>
    <col min="13" max="16384" width="8.7109375" style="1"/>
  </cols>
  <sheetData>
    <row r="1" spans="1:12" ht="18" x14ac:dyDescent="0.25">
      <c r="A1" s="6" t="s">
        <v>38</v>
      </c>
    </row>
    <row r="2" spans="1:12" ht="15" x14ac:dyDescent="0.25">
      <c r="A2" s="22" t="s">
        <v>158</v>
      </c>
    </row>
    <row r="3" spans="1:12" ht="28.5" x14ac:dyDescent="0.2">
      <c r="A3" s="36" t="s">
        <v>66</v>
      </c>
      <c r="B3" s="60">
        <f>15000000+120890000+9000000+110000</f>
        <v>145000000</v>
      </c>
      <c r="C3" s="7" t="s">
        <v>154</v>
      </c>
      <c r="D3" s="11"/>
      <c r="E3" s="11"/>
      <c r="F3" s="11"/>
      <c r="G3" s="11"/>
      <c r="H3" s="11"/>
      <c r="I3" s="11"/>
      <c r="J3" s="11"/>
      <c r="K3" s="11"/>
    </row>
    <row r="4" spans="1:12" ht="15" x14ac:dyDescent="0.25">
      <c r="A4" s="22"/>
      <c r="D4" s="5" t="s">
        <v>99</v>
      </c>
      <c r="E4" s="5" t="s">
        <v>90</v>
      </c>
      <c r="F4" s="5" t="s">
        <v>123</v>
      </c>
      <c r="G4" s="5" t="s">
        <v>123</v>
      </c>
      <c r="K4" s="5"/>
    </row>
    <row r="5" spans="1:12" ht="15" x14ac:dyDescent="0.25">
      <c r="A5" s="3"/>
      <c r="B5" s="5" t="s">
        <v>1</v>
      </c>
      <c r="C5" s="39" t="s">
        <v>2</v>
      </c>
      <c r="D5" s="5" t="s">
        <v>100</v>
      </c>
      <c r="E5" s="5" t="s">
        <v>91</v>
      </c>
      <c r="F5" s="5" t="s">
        <v>119</v>
      </c>
      <c r="G5" s="5" t="s">
        <v>119</v>
      </c>
      <c r="H5" s="5" t="s">
        <v>121</v>
      </c>
      <c r="I5" s="5" t="s">
        <v>124</v>
      </c>
      <c r="J5" s="5" t="s">
        <v>172</v>
      </c>
      <c r="K5" s="5"/>
    </row>
    <row r="6" spans="1:12" ht="15" x14ac:dyDescent="0.25">
      <c r="A6" s="3" t="s">
        <v>0</v>
      </c>
      <c r="B6" s="5" t="s">
        <v>58</v>
      </c>
      <c r="C6" s="39" t="s">
        <v>3</v>
      </c>
      <c r="D6" s="5" t="s">
        <v>101</v>
      </c>
      <c r="E6" s="5" t="s">
        <v>92</v>
      </c>
      <c r="F6" s="5" t="s">
        <v>120</v>
      </c>
      <c r="G6" s="5" t="s">
        <v>125</v>
      </c>
      <c r="H6" s="5" t="s">
        <v>122</v>
      </c>
      <c r="I6" s="5" t="s">
        <v>96</v>
      </c>
      <c r="J6" s="5" t="s">
        <v>173</v>
      </c>
      <c r="K6" s="5" t="s">
        <v>97</v>
      </c>
      <c r="L6" s="5" t="s">
        <v>98</v>
      </c>
    </row>
    <row r="7" spans="1:12" ht="16.5" x14ac:dyDescent="0.2">
      <c r="A7" s="34" t="s">
        <v>128</v>
      </c>
    </row>
    <row r="8" spans="1:12" x14ac:dyDescent="0.2">
      <c r="A8" s="1" t="s">
        <v>126</v>
      </c>
      <c r="B8" s="4">
        <v>9000000</v>
      </c>
      <c r="C8" s="8" t="s">
        <v>36</v>
      </c>
      <c r="K8" s="4">
        <v>9000000</v>
      </c>
      <c r="L8" s="4">
        <f t="shared" ref="L8:L41" si="0">B8-D8-E8-F8-G8-H8-I8-J8-K8</f>
        <v>0</v>
      </c>
    </row>
    <row r="9" spans="1:12" ht="28.5" x14ac:dyDescent="0.2">
      <c r="A9" s="1" t="s">
        <v>31</v>
      </c>
      <c r="B9" s="14">
        <v>110000</v>
      </c>
      <c r="C9" s="8" t="s">
        <v>129</v>
      </c>
      <c r="K9" s="4">
        <v>110000</v>
      </c>
      <c r="L9" s="4">
        <f t="shared" si="0"/>
        <v>0</v>
      </c>
    </row>
    <row r="10" spans="1:12" ht="15" x14ac:dyDescent="0.25">
      <c r="A10" s="2" t="s">
        <v>127</v>
      </c>
      <c r="B10" s="13">
        <f>B8+B9</f>
        <v>9110000</v>
      </c>
      <c r="L10" s="4">
        <f t="shared" si="0"/>
        <v>9110000</v>
      </c>
    </row>
    <row r="11" spans="1:12" ht="15" x14ac:dyDescent="0.25">
      <c r="A11" s="2"/>
      <c r="B11" s="13"/>
      <c r="L11" s="4"/>
    </row>
    <row r="12" spans="1:12" ht="16.5" x14ac:dyDescent="0.25">
      <c r="A12" s="34" t="s">
        <v>108</v>
      </c>
      <c r="B12" s="37">
        <f>15000000+120890000-10000000</f>
        <v>125890000</v>
      </c>
      <c r="C12" s="7" t="s">
        <v>145</v>
      </c>
      <c r="L12" s="4"/>
    </row>
    <row r="13" spans="1:12" ht="15" x14ac:dyDescent="0.25">
      <c r="A13" s="25" t="s">
        <v>153</v>
      </c>
      <c r="B13" s="37"/>
      <c r="L13" s="4"/>
    </row>
    <row r="14" spans="1:12" ht="28.5" x14ac:dyDescent="0.2">
      <c r="A14" s="9" t="s">
        <v>45</v>
      </c>
      <c r="B14" s="12">
        <v>10590914.77</v>
      </c>
      <c r="C14" s="8" t="s">
        <v>37</v>
      </c>
      <c r="D14" s="12"/>
      <c r="E14" s="12"/>
      <c r="F14" s="12"/>
      <c r="G14" s="12"/>
      <c r="H14" s="12">
        <v>10519631</v>
      </c>
      <c r="I14" s="12"/>
      <c r="J14" s="12"/>
      <c r="K14" s="12"/>
      <c r="L14" s="4">
        <f>B14-D14-E14-F14-G14-H14-I14-J14-K14</f>
        <v>71283.769999999553</v>
      </c>
    </row>
    <row r="15" spans="1:12" x14ac:dyDescent="0.2">
      <c r="A15" s="9" t="s">
        <v>54</v>
      </c>
      <c r="B15" s="11">
        <v>59325</v>
      </c>
      <c r="C15" s="10" t="s">
        <v>19</v>
      </c>
      <c r="D15" s="11"/>
      <c r="E15" s="11">
        <v>59325</v>
      </c>
      <c r="F15" s="11"/>
      <c r="G15" s="11"/>
      <c r="H15" s="11"/>
      <c r="I15" s="11"/>
      <c r="J15" s="11"/>
      <c r="K15" s="11"/>
      <c r="L15" s="4">
        <f t="shared" si="0"/>
        <v>0</v>
      </c>
    </row>
    <row r="16" spans="1:12" ht="42.75" x14ac:dyDescent="0.2">
      <c r="A16" s="9" t="s">
        <v>55</v>
      </c>
      <c r="B16" s="12">
        <f>85508+970183+550000</f>
        <v>1605691</v>
      </c>
      <c r="C16" s="10" t="s">
        <v>20</v>
      </c>
      <c r="D16" s="12"/>
      <c r="E16" s="12">
        <f>85508</f>
        <v>85508</v>
      </c>
      <c r="F16" s="12"/>
      <c r="G16" s="12"/>
      <c r="H16" s="12"/>
      <c r="I16" s="12"/>
      <c r="J16" s="12"/>
      <c r="K16" s="12">
        <f>50000+150000+550000+4272+270+15641+200000+400000+150000</f>
        <v>1520183</v>
      </c>
      <c r="L16" s="4">
        <f t="shared" si="0"/>
        <v>0</v>
      </c>
    </row>
    <row r="17" spans="1:12" x14ac:dyDescent="0.2">
      <c r="A17" s="9" t="s">
        <v>9</v>
      </c>
      <c r="B17" s="11">
        <v>7018</v>
      </c>
      <c r="C17" s="10" t="s">
        <v>19</v>
      </c>
      <c r="D17" s="11"/>
      <c r="E17" s="11">
        <v>7018</v>
      </c>
      <c r="F17" s="11"/>
      <c r="G17" s="11"/>
      <c r="H17" s="11"/>
      <c r="I17" s="11"/>
      <c r="J17" s="11"/>
      <c r="K17" s="11"/>
      <c r="L17" s="4">
        <f t="shared" si="0"/>
        <v>0</v>
      </c>
    </row>
    <row r="18" spans="1:12" x14ac:dyDescent="0.2">
      <c r="A18" s="9" t="s">
        <v>144</v>
      </c>
      <c r="B18" s="11">
        <v>26606</v>
      </c>
      <c r="C18" s="10" t="s">
        <v>19</v>
      </c>
      <c r="D18" s="11"/>
      <c r="E18" s="11">
        <v>26606</v>
      </c>
      <c r="F18" s="11"/>
      <c r="G18" s="11"/>
      <c r="H18" s="11"/>
      <c r="I18" s="11"/>
      <c r="J18" s="11"/>
      <c r="K18" s="11"/>
      <c r="L18" s="4"/>
    </row>
    <row r="19" spans="1:12" ht="42.75" x14ac:dyDescent="0.2">
      <c r="A19" s="9" t="s">
        <v>5</v>
      </c>
      <c r="B19" s="12">
        <f>372100+500000</f>
        <v>872100</v>
      </c>
      <c r="C19" s="10" t="s">
        <v>21</v>
      </c>
      <c r="D19" s="12">
        <f>500000</f>
        <v>500000</v>
      </c>
      <c r="E19" s="12">
        <f>72100</f>
        <v>72100</v>
      </c>
      <c r="F19" s="12">
        <f>200000+100000</f>
        <v>300000</v>
      </c>
      <c r="G19" s="12"/>
      <c r="H19" s="12"/>
      <c r="I19" s="12"/>
      <c r="J19" s="12"/>
      <c r="K19" s="12"/>
      <c r="L19" s="4">
        <f t="shared" si="0"/>
        <v>0</v>
      </c>
    </row>
    <row r="20" spans="1:12" x14ac:dyDescent="0.2">
      <c r="A20" s="1" t="s">
        <v>12</v>
      </c>
      <c r="B20" s="11">
        <v>6121</v>
      </c>
      <c r="C20" s="10" t="s">
        <v>19</v>
      </c>
      <c r="D20" s="11"/>
      <c r="E20" s="11">
        <v>6121</v>
      </c>
      <c r="F20" s="11"/>
      <c r="G20" s="11"/>
      <c r="H20" s="11"/>
      <c r="I20" s="11"/>
      <c r="J20" s="11"/>
      <c r="K20" s="11"/>
      <c r="L20" s="4">
        <f t="shared" si="0"/>
        <v>0</v>
      </c>
    </row>
    <row r="21" spans="1:12" ht="28.5" x14ac:dyDescent="0.2">
      <c r="A21" s="9" t="s">
        <v>56</v>
      </c>
      <c r="B21" s="12">
        <v>1321047</v>
      </c>
      <c r="C21" s="10" t="s">
        <v>25</v>
      </c>
      <c r="D21" s="12"/>
      <c r="E21" s="12">
        <v>121047</v>
      </c>
      <c r="F21" s="12"/>
      <c r="G21" s="12"/>
      <c r="H21" s="12"/>
      <c r="I21" s="12">
        <v>1200000</v>
      </c>
      <c r="J21" s="12"/>
      <c r="K21" s="12"/>
      <c r="L21" s="4">
        <f t="shared" si="0"/>
        <v>0</v>
      </c>
    </row>
    <row r="22" spans="1:12" x14ac:dyDescent="0.2">
      <c r="A22" s="9" t="s">
        <v>170</v>
      </c>
      <c r="B22" s="12">
        <v>80500</v>
      </c>
      <c r="C22" s="10" t="s">
        <v>171</v>
      </c>
      <c r="D22" s="12"/>
      <c r="E22" s="12"/>
      <c r="F22" s="12"/>
      <c r="G22" s="12"/>
      <c r="H22" s="12"/>
      <c r="I22" s="12"/>
      <c r="J22" s="12">
        <v>80500</v>
      </c>
      <c r="K22" s="12"/>
      <c r="L22" s="4"/>
    </row>
    <row r="23" spans="1:12" ht="42.75" x14ac:dyDescent="0.2">
      <c r="A23" s="9" t="s">
        <v>10</v>
      </c>
      <c r="B23" s="12">
        <v>336873</v>
      </c>
      <c r="C23" s="10" t="s">
        <v>32</v>
      </c>
      <c r="D23" s="12">
        <f>57311</f>
        <v>57311</v>
      </c>
      <c r="E23" s="12">
        <f>79562</f>
        <v>79562</v>
      </c>
      <c r="F23" s="12">
        <v>125000</v>
      </c>
      <c r="G23" s="12"/>
      <c r="H23" s="12"/>
      <c r="I23" s="12"/>
      <c r="J23" s="12"/>
      <c r="K23" s="12">
        <f>75000</f>
        <v>75000</v>
      </c>
      <c r="L23" s="4">
        <f t="shared" si="0"/>
        <v>0</v>
      </c>
    </row>
    <row r="24" spans="1:12" ht="28.5" x14ac:dyDescent="0.2">
      <c r="A24" s="9" t="s">
        <v>7</v>
      </c>
      <c r="B24" s="11">
        <f>3384285+2501700</f>
        <v>5885985</v>
      </c>
      <c r="C24" s="10" t="s">
        <v>174</v>
      </c>
      <c r="D24" s="11"/>
      <c r="E24" s="11">
        <v>3384285</v>
      </c>
      <c r="F24" s="11"/>
      <c r="G24" s="11"/>
      <c r="H24" s="11"/>
      <c r="I24" s="11"/>
      <c r="J24" s="11"/>
      <c r="K24" s="11">
        <v>2501700</v>
      </c>
      <c r="L24" s="4">
        <f t="shared" si="0"/>
        <v>0</v>
      </c>
    </row>
    <row r="25" spans="1:12" x14ac:dyDescent="0.2">
      <c r="A25" s="9" t="s">
        <v>8</v>
      </c>
      <c r="B25" s="11">
        <v>17281</v>
      </c>
      <c r="C25" s="10" t="s">
        <v>19</v>
      </c>
      <c r="D25" s="11"/>
      <c r="E25" s="11">
        <v>17281</v>
      </c>
      <c r="F25" s="11"/>
      <c r="G25" s="11"/>
      <c r="H25" s="11"/>
      <c r="I25" s="11"/>
      <c r="J25" s="11"/>
      <c r="K25" s="11"/>
      <c r="L25" s="4">
        <f t="shared" si="0"/>
        <v>0</v>
      </c>
    </row>
    <row r="26" spans="1:12" ht="57" x14ac:dyDescent="0.2">
      <c r="A26" s="9" t="s">
        <v>4</v>
      </c>
      <c r="B26" s="12">
        <v>9251941</v>
      </c>
      <c r="C26" s="10" t="s">
        <v>26</v>
      </c>
      <c r="D26" s="12">
        <f>4500000</f>
        <v>4500000</v>
      </c>
      <c r="E26" s="12">
        <f>807593</f>
        <v>807593</v>
      </c>
      <c r="F26" s="12">
        <f>3230000</f>
        <v>3230000</v>
      </c>
      <c r="G26" s="12"/>
      <c r="H26" s="12"/>
      <c r="I26" s="12"/>
      <c r="J26" s="12"/>
      <c r="K26" s="12">
        <f>58500+655848</f>
        <v>714348</v>
      </c>
      <c r="L26" s="4">
        <f t="shared" si="0"/>
        <v>0</v>
      </c>
    </row>
    <row r="27" spans="1:12" x14ac:dyDescent="0.2">
      <c r="A27" s="1" t="s">
        <v>13</v>
      </c>
      <c r="B27" s="11">
        <v>12212</v>
      </c>
      <c r="C27" s="7" t="s">
        <v>22</v>
      </c>
      <c r="D27" s="11"/>
      <c r="E27" s="11"/>
      <c r="F27" s="11"/>
      <c r="G27" s="11"/>
      <c r="H27" s="11"/>
      <c r="I27" s="11"/>
      <c r="J27" s="11"/>
      <c r="K27" s="11">
        <v>12212</v>
      </c>
      <c r="L27" s="4">
        <f t="shared" si="0"/>
        <v>0</v>
      </c>
    </row>
    <row r="28" spans="1:12" ht="42.75" x14ac:dyDescent="0.2">
      <c r="A28" s="9" t="s">
        <v>11</v>
      </c>
      <c r="B28" s="12">
        <f>158517.8+341654</f>
        <v>500171.8</v>
      </c>
      <c r="C28" s="10" t="s">
        <v>175</v>
      </c>
      <c r="D28" s="11">
        <v>36000</v>
      </c>
      <c r="E28" s="11">
        <v>122518</v>
      </c>
      <c r="F28" s="11"/>
      <c r="G28" s="11"/>
      <c r="H28" s="11"/>
      <c r="I28" s="11"/>
      <c r="J28" s="11"/>
      <c r="K28" s="11">
        <v>341654</v>
      </c>
      <c r="L28" s="4">
        <f t="shared" si="0"/>
        <v>-0.20000000001164153</v>
      </c>
    </row>
    <row r="29" spans="1:12" ht="42.75" x14ac:dyDescent="0.2">
      <c r="A29" s="9" t="s">
        <v>6</v>
      </c>
      <c r="B29" s="12">
        <f>655389+50000+155389+50000+85037+375322</f>
        <v>1371137</v>
      </c>
      <c r="C29" s="10" t="s">
        <v>83</v>
      </c>
      <c r="D29" s="12">
        <f>50000+50000</f>
        <v>100000</v>
      </c>
      <c r="E29" s="12">
        <f>155389+155389+85037</f>
        <v>395815</v>
      </c>
      <c r="F29" s="12">
        <f>300000+200000</f>
        <v>500000</v>
      </c>
      <c r="G29" s="12"/>
      <c r="H29" s="12"/>
      <c r="I29" s="12"/>
      <c r="J29" s="12"/>
      <c r="K29" s="12">
        <v>375322</v>
      </c>
      <c r="L29" s="4">
        <f t="shared" si="0"/>
        <v>0</v>
      </c>
    </row>
    <row r="30" spans="1:12" x14ac:dyDescent="0.2">
      <c r="A30" s="15" t="s">
        <v>33</v>
      </c>
      <c r="B30" s="12">
        <v>35000</v>
      </c>
      <c r="C30" s="10" t="s">
        <v>34</v>
      </c>
      <c r="D30" s="12"/>
      <c r="E30" s="12"/>
      <c r="F30" s="12"/>
      <c r="G30" s="12"/>
      <c r="H30" s="12"/>
      <c r="I30" s="12"/>
      <c r="J30" s="12"/>
      <c r="K30" s="12">
        <v>35000</v>
      </c>
      <c r="L30" s="4">
        <f t="shared" si="0"/>
        <v>0</v>
      </c>
    </row>
    <row r="31" spans="1:12" ht="28.5" x14ac:dyDescent="0.2">
      <c r="A31" s="9" t="s">
        <v>53</v>
      </c>
      <c r="B31" s="12">
        <f>2880361+1200000</f>
        <v>4080361</v>
      </c>
      <c r="C31" s="10" t="s">
        <v>24</v>
      </c>
      <c r="D31" s="12"/>
      <c r="E31" s="12">
        <f>2880361</f>
        <v>2880361</v>
      </c>
      <c r="F31" s="12">
        <f>1200000</f>
        <v>1200000</v>
      </c>
      <c r="G31" s="12"/>
      <c r="H31" s="12"/>
      <c r="I31" s="12"/>
      <c r="J31" s="12"/>
      <c r="K31" s="12"/>
      <c r="L31" s="4">
        <f t="shared" si="0"/>
        <v>0</v>
      </c>
    </row>
    <row r="32" spans="1:12" ht="28.5" x14ac:dyDescent="0.2">
      <c r="A32" s="1" t="s">
        <v>14</v>
      </c>
      <c r="B32" s="12">
        <v>17091180</v>
      </c>
      <c r="C32" s="10" t="s">
        <v>23</v>
      </c>
      <c r="D32" s="12">
        <v>15000000</v>
      </c>
      <c r="E32" s="12">
        <v>2091180</v>
      </c>
      <c r="F32" s="12"/>
      <c r="G32" s="12"/>
      <c r="H32" s="12"/>
      <c r="I32" s="12"/>
      <c r="J32" s="12"/>
      <c r="K32" s="12"/>
      <c r="L32" s="4">
        <f t="shared" si="0"/>
        <v>0</v>
      </c>
    </row>
    <row r="33" spans="1:12" ht="42.75" x14ac:dyDescent="0.2">
      <c r="A33" s="1" t="s">
        <v>15</v>
      </c>
      <c r="B33" s="12">
        <v>1171147</v>
      </c>
      <c r="C33" s="10" t="s">
        <v>51</v>
      </c>
      <c r="D33" s="12">
        <v>61208</v>
      </c>
      <c r="E33" s="12">
        <f>145192</f>
        <v>145192</v>
      </c>
      <c r="F33" s="12">
        <f>114747+450000</f>
        <v>564747</v>
      </c>
      <c r="G33" s="12"/>
      <c r="H33" s="12"/>
      <c r="I33" s="12"/>
      <c r="J33" s="12"/>
      <c r="K33" s="12">
        <f>300000+100000</f>
        <v>400000</v>
      </c>
      <c r="L33" s="4">
        <f t="shared" si="0"/>
        <v>0</v>
      </c>
    </row>
    <row r="34" spans="1:12" ht="28.5" x14ac:dyDescent="0.2">
      <c r="A34" s="9" t="s">
        <v>29</v>
      </c>
      <c r="B34" s="12">
        <v>400000</v>
      </c>
      <c r="C34" s="10" t="s">
        <v>35</v>
      </c>
      <c r="D34" s="12"/>
      <c r="E34" s="12"/>
      <c r="F34" s="12"/>
      <c r="G34" s="12">
        <v>400000</v>
      </c>
      <c r="H34" s="12"/>
      <c r="I34" s="12"/>
      <c r="J34" s="12"/>
      <c r="K34" s="12"/>
      <c r="L34" s="4">
        <f t="shared" si="0"/>
        <v>0</v>
      </c>
    </row>
    <row r="35" spans="1:12" ht="15" customHeight="1" x14ac:dyDescent="0.2">
      <c r="A35" s="1" t="s">
        <v>16</v>
      </c>
      <c r="B35" s="11">
        <v>4004</v>
      </c>
      <c r="C35" s="10" t="s">
        <v>19</v>
      </c>
      <c r="D35" s="11"/>
      <c r="E35" s="11">
        <v>4004</v>
      </c>
      <c r="F35" s="11"/>
      <c r="G35" s="11"/>
      <c r="H35" s="11"/>
      <c r="I35" s="11"/>
      <c r="J35" s="11"/>
      <c r="K35" s="11"/>
      <c r="L35" s="4">
        <f t="shared" si="0"/>
        <v>0</v>
      </c>
    </row>
    <row r="36" spans="1:12" ht="15" customHeight="1" x14ac:dyDescent="0.2">
      <c r="A36" s="1" t="s">
        <v>52</v>
      </c>
      <c r="B36" s="11">
        <v>134680</v>
      </c>
      <c r="C36" s="10" t="s">
        <v>19</v>
      </c>
      <c r="D36" s="11"/>
      <c r="E36" s="11">
        <v>134680</v>
      </c>
      <c r="F36" s="11"/>
      <c r="G36" s="11"/>
      <c r="H36" s="11"/>
      <c r="I36" s="11"/>
      <c r="J36" s="11"/>
      <c r="K36" s="11"/>
      <c r="L36" s="4">
        <f t="shared" si="0"/>
        <v>0</v>
      </c>
    </row>
    <row r="37" spans="1:12" ht="28.5" x14ac:dyDescent="0.2">
      <c r="A37" s="9" t="s">
        <v>30</v>
      </c>
      <c r="B37" s="12">
        <v>110000</v>
      </c>
      <c r="C37" s="10" t="s">
        <v>23</v>
      </c>
      <c r="D37" s="12">
        <v>35000</v>
      </c>
      <c r="E37" s="12">
        <v>75000</v>
      </c>
      <c r="F37" s="12"/>
      <c r="G37" s="12"/>
      <c r="H37" s="12"/>
      <c r="I37" s="12"/>
      <c r="J37" s="12"/>
      <c r="K37" s="12"/>
      <c r="L37" s="4">
        <f t="shared" si="0"/>
        <v>0</v>
      </c>
    </row>
    <row r="38" spans="1:12" ht="42.75" x14ac:dyDescent="0.2">
      <c r="A38" s="9" t="s">
        <v>44</v>
      </c>
      <c r="B38" s="12">
        <f>24440+65000</f>
        <v>89440</v>
      </c>
      <c r="C38" s="10" t="s">
        <v>63</v>
      </c>
      <c r="D38" s="12"/>
      <c r="E38" s="12">
        <f>24440</f>
        <v>24440</v>
      </c>
      <c r="F38" s="12"/>
      <c r="G38" s="12">
        <v>65000</v>
      </c>
      <c r="H38" s="12"/>
      <c r="I38" s="12"/>
      <c r="J38" s="12"/>
      <c r="K38" s="12"/>
      <c r="L38" s="4">
        <f t="shared" si="0"/>
        <v>0</v>
      </c>
    </row>
    <row r="39" spans="1:12" ht="28.5" x14ac:dyDescent="0.2">
      <c r="A39" s="9" t="s">
        <v>27</v>
      </c>
      <c r="B39" s="12">
        <v>89767</v>
      </c>
      <c r="C39" s="10" t="s">
        <v>28</v>
      </c>
      <c r="D39" s="12"/>
      <c r="E39" s="12"/>
      <c r="F39" s="12"/>
      <c r="G39" s="12"/>
      <c r="H39" s="12"/>
      <c r="I39" s="12"/>
      <c r="J39" s="12"/>
      <c r="K39" s="12">
        <v>89767</v>
      </c>
      <c r="L39" s="4">
        <f t="shared" si="0"/>
        <v>0</v>
      </c>
    </row>
    <row r="40" spans="1:12" ht="28.5" x14ac:dyDescent="0.2">
      <c r="A40" s="9" t="s">
        <v>17</v>
      </c>
      <c r="B40" s="12">
        <f>5200+134437+10230+59721</f>
        <v>209588</v>
      </c>
      <c r="C40" s="10" t="s">
        <v>24</v>
      </c>
      <c r="D40" s="12"/>
      <c r="E40" s="12">
        <f>5200</f>
        <v>5200</v>
      </c>
      <c r="F40" s="12">
        <f>134437+10230+59721</f>
        <v>204388</v>
      </c>
      <c r="G40" s="12"/>
      <c r="H40" s="12"/>
      <c r="I40" s="12"/>
      <c r="J40" s="12"/>
      <c r="K40" s="12"/>
      <c r="L40" s="4">
        <f t="shared" si="0"/>
        <v>0</v>
      </c>
    </row>
    <row r="41" spans="1:12" x14ac:dyDescent="0.2">
      <c r="A41" s="1" t="s">
        <v>18</v>
      </c>
      <c r="B41" s="28">
        <v>338910</v>
      </c>
      <c r="C41" s="10" t="s">
        <v>19</v>
      </c>
      <c r="D41" s="28"/>
      <c r="E41" s="28">
        <v>338910</v>
      </c>
      <c r="F41" s="28"/>
      <c r="G41" s="28"/>
      <c r="H41" s="28"/>
      <c r="I41" s="28"/>
      <c r="J41" s="28"/>
      <c r="K41" s="28"/>
      <c r="L41" s="4">
        <f t="shared" si="0"/>
        <v>0</v>
      </c>
    </row>
    <row r="42" spans="1:12" ht="15" x14ac:dyDescent="0.25">
      <c r="A42" s="2" t="s">
        <v>108</v>
      </c>
      <c r="B42" s="31">
        <f>SUM(B14:B41)</f>
        <v>55699000.57</v>
      </c>
      <c r="D42" s="31">
        <f t="shared" ref="D42:K42" si="1">SUM(D14:D41)</f>
        <v>20289519</v>
      </c>
      <c r="E42" s="31">
        <f t="shared" si="1"/>
        <v>10883746</v>
      </c>
      <c r="F42" s="31">
        <f t="shared" si="1"/>
        <v>6124135</v>
      </c>
      <c r="G42" s="31">
        <f t="shared" si="1"/>
        <v>465000</v>
      </c>
      <c r="H42" s="31">
        <f t="shared" si="1"/>
        <v>10519631</v>
      </c>
      <c r="I42" s="31">
        <f t="shared" si="1"/>
        <v>1200000</v>
      </c>
      <c r="J42" s="31">
        <f t="shared" si="1"/>
        <v>80500</v>
      </c>
      <c r="K42" s="31">
        <f t="shared" si="1"/>
        <v>6065186</v>
      </c>
      <c r="L42" s="4" t="e">
        <f>B42-#REF!-#REF!-#REF!-#REF!-#REF!-#REF!-#REF!-#REF!</f>
        <v>#REF!</v>
      </c>
    </row>
    <row r="43" spans="1:12" ht="15" x14ac:dyDescent="0.25">
      <c r="A43" s="27" t="s">
        <v>67</v>
      </c>
      <c r="B43" s="13">
        <f>B12-B42</f>
        <v>70190999.430000007</v>
      </c>
      <c r="L43" s="4">
        <f>B43-D42-E42-F42-G42-H42-I42-J42-K42</f>
        <v>14563282.430000007</v>
      </c>
    </row>
    <row r="44" spans="1:12" s="16" customFormat="1" x14ac:dyDescent="0.2">
      <c r="A44" s="25"/>
      <c r="B44" s="26"/>
      <c r="C44" s="18"/>
      <c r="D44" s="26"/>
      <c r="E44" s="26"/>
      <c r="F44" s="26"/>
      <c r="G44" s="26"/>
      <c r="H44" s="26"/>
      <c r="I44" s="26"/>
      <c r="J44" s="26"/>
      <c r="K44" s="26"/>
    </row>
    <row r="45" spans="1:12" s="16" customFormat="1" ht="16.5" x14ac:dyDescent="0.2">
      <c r="A45" s="49" t="s">
        <v>146</v>
      </c>
      <c r="B45" s="23"/>
      <c r="C45" s="19"/>
      <c r="D45" s="30"/>
      <c r="E45" s="30"/>
      <c r="F45" s="30"/>
      <c r="G45" s="30"/>
      <c r="H45" s="30"/>
      <c r="I45" s="30"/>
      <c r="J45" s="30"/>
      <c r="K45" s="30"/>
    </row>
    <row r="46" spans="1:12" s="16" customFormat="1" x14ac:dyDescent="0.2">
      <c r="A46" s="50" t="s">
        <v>155</v>
      </c>
      <c r="B46" s="23">
        <v>10000000</v>
      </c>
      <c r="C46" s="19"/>
      <c r="D46" s="17"/>
      <c r="E46" s="17"/>
      <c r="F46" s="17"/>
      <c r="G46" s="17"/>
      <c r="H46" s="17"/>
      <c r="I46" s="17"/>
      <c r="J46" s="17"/>
      <c r="K46" s="17"/>
    </row>
    <row r="47" spans="1:12" s="16" customFormat="1" x14ac:dyDescent="0.2">
      <c r="A47" s="50" t="s">
        <v>105</v>
      </c>
      <c r="B47" s="29"/>
      <c r="C47" s="19"/>
      <c r="D47" s="17"/>
      <c r="E47" s="17"/>
      <c r="F47" s="17"/>
      <c r="G47" s="17"/>
      <c r="H47" s="17"/>
      <c r="I47" s="17"/>
      <c r="J47" s="17"/>
      <c r="K47" s="17"/>
    </row>
    <row r="48" spans="1:12" s="16" customFormat="1" ht="15" x14ac:dyDescent="0.2">
      <c r="A48" s="58" t="s">
        <v>147</v>
      </c>
      <c r="B48" s="30">
        <f>B46-B47</f>
        <v>10000000</v>
      </c>
      <c r="C48" s="19"/>
      <c r="D48" s="17"/>
      <c r="E48" s="17"/>
      <c r="F48" s="17"/>
      <c r="G48" s="17"/>
      <c r="H48" s="17"/>
      <c r="I48" s="17"/>
      <c r="J48" s="17"/>
      <c r="K48" s="17"/>
    </row>
    <row r="49" spans="1:11" s="16" customFormat="1" ht="15" x14ac:dyDescent="0.25">
      <c r="B49" s="20"/>
      <c r="C49" s="21"/>
      <c r="D49" s="20"/>
      <c r="E49" s="20"/>
      <c r="F49" s="20"/>
      <c r="G49" s="20"/>
      <c r="H49" s="20"/>
      <c r="I49" s="20"/>
      <c r="J49" s="20"/>
      <c r="K49" s="20"/>
    </row>
    <row r="50" spans="1:11" s="16" customFormat="1" ht="15" x14ac:dyDescent="0.25">
      <c r="A50" s="22"/>
      <c r="B50" s="17"/>
      <c r="C50" s="21"/>
      <c r="D50" s="17"/>
      <c r="E50" s="17"/>
      <c r="F50" s="17"/>
      <c r="G50" s="17"/>
      <c r="H50" s="17"/>
      <c r="I50" s="17"/>
      <c r="J50" s="17"/>
      <c r="K50" s="17"/>
    </row>
    <row r="51" spans="1:11" s="16" customFormat="1" x14ac:dyDescent="0.2">
      <c r="B51" s="17"/>
      <c r="C51" s="21"/>
      <c r="D51" s="17"/>
      <c r="E51" s="17"/>
      <c r="F51" s="17"/>
      <c r="G51" s="17"/>
      <c r="H51" s="17"/>
      <c r="I51" s="17"/>
      <c r="J51" s="17"/>
      <c r="K51" s="17"/>
    </row>
    <row r="52" spans="1:11" s="16" customFormat="1" x14ac:dyDescent="0.2">
      <c r="B52" s="17"/>
      <c r="C52" s="18"/>
      <c r="D52" s="17"/>
      <c r="E52" s="17"/>
      <c r="F52" s="17"/>
      <c r="G52" s="17"/>
      <c r="H52" s="17"/>
      <c r="I52" s="17"/>
      <c r="J52" s="17"/>
      <c r="K52" s="17"/>
    </row>
    <row r="53" spans="1:11" s="16" customFormat="1" x14ac:dyDescent="0.2">
      <c r="B53" s="17"/>
      <c r="C53" s="18"/>
      <c r="D53" s="17"/>
      <c r="E53" s="17"/>
      <c r="F53" s="17"/>
      <c r="G53" s="17"/>
      <c r="H53" s="17"/>
      <c r="I53" s="17"/>
      <c r="J53" s="17"/>
      <c r="K53" s="17"/>
    </row>
    <row r="54" spans="1:11" s="16" customFormat="1" x14ac:dyDescent="0.2">
      <c r="B54" s="17"/>
      <c r="C54" s="18"/>
      <c r="D54" s="17"/>
      <c r="E54" s="17"/>
      <c r="F54" s="17"/>
      <c r="G54" s="17"/>
      <c r="H54" s="17"/>
      <c r="I54" s="17"/>
      <c r="J54" s="17"/>
      <c r="K54" s="17"/>
    </row>
    <row r="55" spans="1:11" s="16" customFormat="1" ht="15" x14ac:dyDescent="0.25">
      <c r="B55" s="20"/>
      <c r="C55" s="18"/>
      <c r="D55" s="20"/>
      <c r="E55" s="20"/>
      <c r="F55" s="20"/>
      <c r="G55" s="20"/>
      <c r="H55" s="20"/>
      <c r="I55" s="20"/>
      <c r="J55" s="20"/>
      <c r="K55" s="20"/>
    </row>
    <row r="56" spans="1:11" s="16" customFormat="1" x14ac:dyDescent="0.2">
      <c r="B56" s="17"/>
      <c r="C56" s="18"/>
      <c r="D56" s="17"/>
      <c r="E56" s="17"/>
      <c r="F56" s="17"/>
      <c r="G56" s="17"/>
      <c r="H56" s="17"/>
      <c r="I56" s="17"/>
      <c r="J56" s="17"/>
      <c r="K56" s="17"/>
    </row>
    <row r="57" spans="1:11" s="16" customFormat="1" x14ac:dyDescent="0.2">
      <c r="B57" s="17"/>
      <c r="C57" s="18"/>
      <c r="D57" s="17"/>
      <c r="E57" s="17"/>
      <c r="F57" s="17"/>
      <c r="G57" s="17"/>
      <c r="H57" s="17"/>
      <c r="I57" s="17"/>
      <c r="J57" s="17"/>
      <c r="K57" s="17"/>
    </row>
  </sheetData>
  <sortState xmlns:xlrd2="http://schemas.microsoft.com/office/spreadsheetml/2017/richdata2" ref="A17:C41">
    <sortCondition ref="A17:A41"/>
  </sortState>
  <printOptions gridLines="1"/>
  <pageMargins left="0.7" right="0.7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9E4A6-20AC-4101-BEBA-F7F215646966}">
  <dimension ref="A1:H96"/>
  <sheetViews>
    <sheetView tabSelected="1" topLeftCell="A53" zoomScale="90" zoomScaleNormal="90" workbookViewId="0">
      <selection activeCell="D53" sqref="D53"/>
    </sheetView>
  </sheetViews>
  <sheetFormatPr defaultColWidth="9.140625" defaultRowHeight="15" x14ac:dyDescent="0.25"/>
  <cols>
    <col min="1" max="1" width="50" style="50" customWidth="1"/>
    <col min="2" max="2" width="14.42578125" style="26" bestFit="1" customWidth="1"/>
    <col min="3" max="3" width="57" style="24" customWidth="1"/>
    <col min="4" max="8" width="14.42578125" style="26" bestFit="1" customWidth="1"/>
    <col min="9" max="16384" width="9.140625" style="43"/>
  </cols>
  <sheetData>
    <row r="1" spans="1:8" ht="18" x14ac:dyDescent="0.25">
      <c r="A1" s="42" t="s">
        <v>49</v>
      </c>
    </row>
    <row r="2" spans="1:8" x14ac:dyDescent="0.25">
      <c r="A2" s="44" t="s">
        <v>158</v>
      </c>
    </row>
    <row r="3" spans="1:8" x14ac:dyDescent="0.25">
      <c r="A3" s="44" t="s">
        <v>66</v>
      </c>
      <c r="B3" s="38" t="s">
        <v>1</v>
      </c>
      <c r="C3" s="45" t="s">
        <v>116</v>
      </c>
      <c r="D3" s="11"/>
      <c r="E3" s="11"/>
      <c r="F3" s="11"/>
      <c r="G3" s="11"/>
      <c r="H3" s="11"/>
    </row>
    <row r="4" spans="1:8" x14ac:dyDescent="0.25">
      <c r="A4" s="44" t="s">
        <v>156</v>
      </c>
      <c r="B4" s="11">
        <f>75000000-10000000</f>
        <v>65000000</v>
      </c>
      <c r="C4" s="24" t="s">
        <v>108</v>
      </c>
      <c r="D4" s="11"/>
      <c r="E4" s="11"/>
      <c r="F4" s="11"/>
      <c r="G4" s="11"/>
      <c r="H4" s="11"/>
    </row>
    <row r="5" spans="1:8" ht="29.25" x14ac:dyDescent="0.25">
      <c r="A5" s="46" t="s">
        <v>110</v>
      </c>
      <c r="B5" s="12">
        <v>45000000</v>
      </c>
      <c r="C5" s="24" t="s">
        <v>114</v>
      </c>
      <c r="D5" s="11"/>
      <c r="E5" s="11"/>
      <c r="F5" s="11"/>
      <c r="G5" s="11"/>
      <c r="H5" s="11"/>
    </row>
    <row r="6" spans="1:8" ht="43.5" x14ac:dyDescent="0.25">
      <c r="A6" s="46" t="s">
        <v>109</v>
      </c>
      <c r="B6" s="12">
        <v>40000000</v>
      </c>
      <c r="C6" s="24" t="s">
        <v>113</v>
      </c>
      <c r="D6" s="11"/>
      <c r="E6" s="11"/>
      <c r="F6" s="11"/>
      <c r="G6" s="11"/>
      <c r="H6" s="11"/>
    </row>
    <row r="7" spans="1:8" ht="43.5" x14ac:dyDescent="0.25">
      <c r="A7" s="46" t="s">
        <v>111</v>
      </c>
      <c r="B7" s="23">
        <v>12662200</v>
      </c>
      <c r="C7" s="24" t="s">
        <v>115</v>
      </c>
      <c r="D7" s="11"/>
      <c r="E7" s="11"/>
      <c r="F7" s="11"/>
      <c r="G7" s="11"/>
      <c r="H7" s="11"/>
    </row>
    <row r="8" spans="1:8" x14ac:dyDescent="0.25">
      <c r="A8" s="44" t="s">
        <v>160</v>
      </c>
      <c r="B8" s="29">
        <v>10000000</v>
      </c>
      <c r="C8" s="24" t="s">
        <v>146</v>
      </c>
      <c r="D8" s="11"/>
      <c r="E8" s="11"/>
      <c r="F8" s="11"/>
      <c r="G8" s="11"/>
      <c r="H8" s="11"/>
    </row>
    <row r="9" spans="1:8" x14ac:dyDescent="0.25">
      <c r="A9" s="44" t="s">
        <v>130</v>
      </c>
      <c r="B9" s="35">
        <f>SUM(B4:B8)</f>
        <v>172662200</v>
      </c>
      <c r="C9" s="24" t="s">
        <v>112</v>
      </c>
      <c r="D9" s="11"/>
      <c r="E9" s="11"/>
      <c r="F9" s="11"/>
      <c r="G9" s="11"/>
      <c r="H9" s="11"/>
    </row>
    <row r="10" spans="1:8" x14ac:dyDescent="0.25">
      <c r="A10" s="44"/>
      <c r="D10" s="47" t="s">
        <v>99</v>
      </c>
      <c r="E10" s="47" t="s">
        <v>90</v>
      </c>
    </row>
    <row r="11" spans="1:8" ht="18" x14ac:dyDescent="0.25">
      <c r="A11" s="42" t="s">
        <v>49</v>
      </c>
      <c r="B11" s="47" t="s">
        <v>1</v>
      </c>
      <c r="C11" s="45" t="s">
        <v>2</v>
      </c>
      <c r="D11" s="47" t="s">
        <v>100</v>
      </c>
      <c r="E11" s="47" t="s">
        <v>91</v>
      </c>
      <c r="F11" s="47" t="s">
        <v>95</v>
      </c>
      <c r="G11" s="47"/>
      <c r="H11" s="47" t="s">
        <v>93</v>
      </c>
    </row>
    <row r="12" spans="1:8" x14ac:dyDescent="0.25">
      <c r="A12" s="48" t="s">
        <v>0</v>
      </c>
      <c r="B12" s="38" t="s">
        <v>58</v>
      </c>
      <c r="C12" s="45" t="s">
        <v>3</v>
      </c>
      <c r="D12" s="38" t="s">
        <v>101</v>
      </c>
      <c r="E12" s="38" t="s">
        <v>92</v>
      </c>
      <c r="F12" s="38" t="s">
        <v>96</v>
      </c>
      <c r="G12" s="38" t="s">
        <v>97</v>
      </c>
      <c r="H12" s="38" t="s">
        <v>94</v>
      </c>
    </row>
    <row r="13" spans="1:8" ht="16.5" x14ac:dyDescent="0.25">
      <c r="A13" s="49" t="s">
        <v>108</v>
      </c>
    </row>
    <row r="14" spans="1:8" x14ac:dyDescent="0.25">
      <c r="A14" s="44" t="s">
        <v>152</v>
      </c>
      <c r="B14" s="35">
        <f>75000000-10000000</f>
        <v>65000000</v>
      </c>
      <c r="C14" s="8" t="s">
        <v>145</v>
      </c>
    </row>
    <row r="15" spans="1:8" ht="28.5" x14ac:dyDescent="0.25">
      <c r="A15" s="51" t="s">
        <v>131</v>
      </c>
      <c r="B15" s="23">
        <f>5720+100000+52780</f>
        <v>158500</v>
      </c>
      <c r="C15" s="41" t="s">
        <v>50</v>
      </c>
      <c r="D15" s="23">
        <v>100000</v>
      </c>
      <c r="E15" s="23">
        <f>5720+52780</f>
        <v>58500</v>
      </c>
    </row>
    <row r="16" spans="1:8" x14ac:dyDescent="0.25">
      <c r="A16" s="50" t="s">
        <v>138</v>
      </c>
      <c r="B16" s="26">
        <v>3000000</v>
      </c>
      <c r="C16" s="24" t="s">
        <v>42</v>
      </c>
      <c r="D16" s="26">
        <v>3000000</v>
      </c>
    </row>
    <row r="17" spans="1:8" ht="29.25" x14ac:dyDescent="0.25">
      <c r="A17" s="51" t="s">
        <v>80</v>
      </c>
      <c r="B17" s="23">
        <f>150020+370000</f>
        <v>520020</v>
      </c>
      <c r="C17" s="24" t="s">
        <v>161</v>
      </c>
      <c r="D17" s="23">
        <v>370000</v>
      </c>
      <c r="E17" s="23"/>
      <c r="F17" s="23"/>
      <c r="G17" s="23">
        <v>150020</v>
      </c>
      <c r="H17" s="23"/>
    </row>
    <row r="18" spans="1:8" ht="29.25" x14ac:dyDescent="0.25">
      <c r="A18" s="51" t="s">
        <v>140</v>
      </c>
      <c r="B18" s="23">
        <f>300000+371314+500000</f>
        <v>1171314</v>
      </c>
      <c r="C18" s="24" t="s">
        <v>50</v>
      </c>
      <c r="D18" s="23">
        <f>300000+500000</f>
        <v>800000</v>
      </c>
      <c r="E18" s="23">
        <v>371314</v>
      </c>
      <c r="F18" s="23"/>
      <c r="G18" s="23"/>
      <c r="H18" s="23"/>
    </row>
    <row r="19" spans="1:8" ht="42.75" x14ac:dyDescent="0.25">
      <c r="A19" s="51" t="s">
        <v>45</v>
      </c>
      <c r="B19" s="23">
        <f>794989</f>
        <v>794989</v>
      </c>
      <c r="C19" s="41" t="s">
        <v>141</v>
      </c>
      <c r="D19" s="23"/>
      <c r="E19" s="23"/>
      <c r="F19" s="23"/>
      <c r="G19" s="23">
        <f>794989</f>
        <v>794989</v>
      </c>
    </row>
    <row r="20" spans="1:8" ht="43.5" x14ac:dyDescent="0.25">
      <c r="A20" s="51" t="s">
        <v>72</v>
      </c>
      <c r="B20" s="23">
        <f>298100+330000+60000+1000000</f>
        <v>1688100</v>
      </c>
      <c r="C20" s="24" t="s">
        <v>163</v>
      </c>
      <c r="D20" s="23"/>
      <c r="E20" s="23"/>
      <c r="F20" s="23"/>
      <c r="G20" s="23"/>
      <c r="H20" s="23">
        <f>688100+1000000</f>
        <v>1688100</v>
      </c>
    </row>
    <row r="21" spans="1:8" ht="29.25" x14ac:dyDescent="0.25">
      <c r="A21" s="51" t="s">
        <v>76</v>
      </c>
      <c r="B21" s="23">
        <f>301156+80000+33518</f>
        <v>414674</v>
      </c>
      <c r="C21" s="24" t="s">
        <v>77</v>
      </c>
      <c r="D21" s="23">
        <v>33518</v>
      </c>
      <c r="E21" s="23">
        <f>301156</f>
        <v>301156</v>
      </c>
      <c r="F21" s="23">
        <v>80000</v>
      </c>
      <c r="G21" s="23"/>
      <c r="H21" s="23"/>
    </row>
    <row r="22" spans="1:8" x14ac:dyDescent="0.25">
      <c r="A22" s="50" t="s">
        <v>64</v>
      </c>
      <c r="B22" s="26">
        <v>830546</v>
      </c>
      <c r="C22" s="52" t="s">
        <v>19</v>
      </c>
      <c r="E22" s="26">
        <v>830546</v>
      </c>
    </row>
    <row r="23" spans="1:8" ht="28.5" x14ac:dyDescent="0.25">
      <c r="A23" s="51" t="s">
        <v>57</v>
      </c>
      <c r="B23" s="23">
        <f>2500000+1750000+897000</f>
        <v>5147000</v>
      </c>
      <c r="C23" s="41" t="s">
        <v>50</v>
      </c>
      <c r="D23" s="23">
        <f>2500000+1750000</f>
        <v>4250000</v>
      </c>
      <c r="E23" s="23">
        <v>897000</v>
      </c>
    </row>
    <row r="24" spans="1:8" ht="29.25" x14ac:dyDescent="0.25">
      <c r="A24" s="50" t="s">
        <v>69</v>
      </c>
      <c r="B24" s="26">
        <f>100000+41288+80000</f>
        <v>221288</v>
      </c>
      <c r="C24" s="24" t="s">
        <v>162</v>
      </c>
      <c r="D24" s="26">
        <v>100000</v>
      </c>
      <c r="E24" s="26">
        <v>41288</v>
      </c>
      <c r="F24" s="26">
        <v>80000</v>
      </c>
    </row>
    <row r="25" spans="1:8" ht="28.5" x14ac:dyDescent="0.25">
      <c r="A25" s="51" t="s">
        <v>81</v>
      </c>
      <c r="B25" s="23">
        <v>250000</v>
      </c>
      <c r="C25" s="41" t="s">
        <v>82</v>
      </c>
      <c r="D25" s="23"/>
      <c r="E25" s="23"/>
      <c r="F25" s="23">
        <v>250000</v>
      </c>
      <c r="G25" s="23"/>
      <c r="H25" s="23"/>
    </row>
    <row r="26" spans="1:8" x14ac:dyDescent="0.25">
      <c r="A26" s="51" t="s">
        <v>89</v>
      </c>
      <c r="B26" s="23">
        <v>18326</v>
      </c>
      <c r="C26" s="52" t="s">
        <v>19</v>
      </c>
      <c r="D26" s="23"/>
      <c r="E26" s="23">
        <v>18326</v>
      </c>
      <c r="F26" s="23"/>
      <c r="G26" s="23"/>
      <c r="H26" s="23"/>
    </row>
    <row r="27" spans="1:8" x14ac:dyDescent="0.25">
      <c r="A27" s="51" t="s">
        <v>68</v>
      </c>
      <c r="B27" s="23">
        <v>70242</v>
      </c>
      <c r="C27" s="52" t="s">
        <v>19</v>
      </c>
      <c r="D27" s="23"/>
      <c r="E27" s="23">
        <v>70242</v>
      </c>
      <c r="F27" s="23"/>
      <c r="G27" s="23"/>
      <c r="H27" s="23"/>
    </row>
    <row r="28" spans="1:8" x14ac:dyDescent="0.25">
      <c r="A28" s="51" t="s">
        <v>70</v>
      </c>
      <c r="B28" s="23">
        <v>24707</v>
      </c>
      <c r="C28" s="52" t="s">
        <v>19</v>
      </c>
      <c r="D28" s="23"/>
      <c r="E28" s="23">
        <v>24707</v>
      </c>
      <c r="F28" s="23"/>
      <c r="G28" s="23"/>
      <c r="H28" s="23"/>
    </row>
    <row r="29" spans="1:8" ht="29.25" x14ac:dyDescent="0.25">
      <c r="A29" s="51" t="s">
        <v>43</v>
      </c>
      <c r="B29" s="23">
        <f>531000+220000+686203+1159305+3581491+2000000</f>
        <v>8177999</v>
      </c>
      <c r="C29" s="24" t="s">
        <v>62</v>
      </c>
      <c r="D29" s="23">
        <f>531000+2000000</f>
        <v>2531000</v>
      </c>
      <c r="E29" s="23">
        <f>686203+1159305+3581491</f>
        <v>5426999</v>
      </c>
      <c r="F29" s="23">
        <v>220000</v>
      </c>
      <c r="G29" s="23"/>
      <c r="H29" s="23"/>
    </row>
    <row r="30" spans="1:8" x14ac:dyDescent="0.25">
      <c r="A30" s="51" t="s">
        <v>39</v>
      </c>
      <c r="B30" s="23">
        <f>226160</f>
        <v>226160</v>
      </c>
      <c r="C30" s="24" t="s">
        <v>19</v>
      </c>
      <c r="D30" s="23"/>
      <c r="E30" s="23">
        <v>226160</v>
      </c>
      <c r="F30" s="23"/>
      <c r="G30" s="23"/>
      <c r="H30" s="23"/>
    </row>
    <row r="31" spans="1:8" ht="28.5" x14ac:dyDescent="0.25">
      <c r="A31" s="51" t="s">
        <v>40</v>
      </c>
      <c r="B31" s="23">
        <f>(531000+400000)+220000+1171294+1567422+71308+89020+7418</f>
        <v>4057462</v>
      </c>
      <c r="C31" s="41" t="s">
        <v>65</v>
      </c>
      <c r="D31" s="23">
        <f>531000+400000</f>
        <v>931000</v>
      </c>
      <c r="E31" s="23">
        <f>1171294+1567422+71308+89020+7418</f>
        <v>2906462</v>
      </c>
      <c r="F31" s="23">
        <v>220000</v>
      </c>
    </row>
    <row r="32" spans="1:8" ht="29.25" x14ac:dyDescent="0.25">
      <c r="A32" s="51" t="s">
        <v>41</v>
      </c>
      <c r="B32" s="23">
        <f>31531+391756</f>
        <v>423287</v>
      </c>
      <c r="C32" s="24" t="s">
        <v>165</v>
      </c>
      <c r="D32" s="23"/>
      <c r="E32" s="23">
        <v>391756</v>
      </c>
      <c r="F32" s="23"/>
      <c r="G32" s="23">
        <v>31531</v>
      </c>
      <c r="H32" s="23"/>
    </row>
    <row r="33" spans="1:8" x14ac:dyDescent="0.25">
      <c r="A33" s="51" t="s">
        <v>71</v>
      </c>
      <c r="B33" s="23">
        <v>1500000</v>
      </c>
      <c r="C33" s="24" t="s">
        <v>42</v>
      </c>
      <c r="D33" s="23">
        <v>1500000</v>
      </c>
      <c r="E33" s="23"/>
      <c r="F33" s="23"/>
      <c r="G33" s="23"/>
      <c r="H33" s="23"/>
    </row>
    <row r="34" spans="1:8" x14ac:dyDescent="0.25">
      <c r="A34" s="51" t="s">
        <v>78</v>
      </c>
      <c r="B34" s="23">
        <v>25548</v>
      </c>
      <c r="C34" s="52" t="s">
        <v>19</v>
      </c>
      <c r="D34" s="23"/>
      <c r="E34" s="23">
        <v>25548</v>
      </c>
      <c r="F34" s="23"/>
      <c r="G34" s="23"/>
      <c r="H34" s="23"/>
    </row>
    <row r="35" spans="1:8" ht="29.25" x14ac:dyDescent="0.25">
      <c r="A35" s="51" t="s">
        <v>143</v>
      </c>
      <c r="B35" s="23">
        <f>400000+46743</f>
        <v>446743</v>
      </c>
      <c r="C35" s="24" t="s">
        <v>50</v>
      </c>
      <c r="D35" s="23">
        <v>400000</v>
      </c>
      <c r="E35" s="23">
        <v>46743</v>
      </c>
      <c r="F35" s="23"/>
      <c r="G35" s="23"/>
      <c r="H35" s="23"/>
    </row>
    <row r="36" spans="1:8" ht="29.25" x14ac:dyDescent="0.25">
      <c r="A36" s="51" t="s">
        <v>59</v>
      </c>
      <c r="B36" s="23">
        <v>31000</v>
      </c>
      <c r="C36" s="24" t="s">
        <v>50</v>
      </c>
      <c r="D36" s="23">
        <v>5000</v>
      </c>
      <c r="E36" s="23">
        <v>26000</v>
      </c>
      <c r="F36" s="23"/>
      <c r="G36" s="23"/>
      <c r="H36" s="23"/>
    </row>
    <row r="37" spans="1:8" x14ac:dyDescent="0.25">
      <c r="A37" s="50" t="s">
        <v>46</v>
      </c>
      <c r="B37" s="26">
        <v>130000</v>
      </c>
      <c r="C37" s="52" t="s">
        <v>19</v>
      </c>
      <c r="E37" s="26">
        <v>130000</v>
      </c>
    </row>
    <row r="38" spans="1:8" x14ac:dyDescent="0.25">
      <c r="A38" s="50" t="s">
        <v>47</v>
      </c>
      <c r="B38" s="26">
        <f>3000000+3000000+702584+2860699</f>
        <v>9563283</v>
      </c>
      <c r="C38" s="24" t="s">
        <v>132</v>
      </c>
      <c r="D38" s="26">
        <f>3000000+3000000</f>
        <v>6000000</v>
      </c>
      <c r="E38" s="26">
        <v>2860699</v>
      </c>
      <c r="G38" s="26">
        <v>702584</v>
      </c>
    </row>
    <row r="39" spans="1:8" x14ac:dyDescent="0.25">
      <c r="A39" s="53" t="s">
        <v>48</v>
      </c>
      <c r="B39" s="26">
        <v>1495000</v>
      </c>
      <c r="C39" s="52" t="s">
        <v>19</v>
      </c>
      <c r="E39" s="26">
        <v>1495000</v>
      </c>
    </row>
    <row r="40" spans="1:8" x14ac:dyDescent="0.25">
      <c r="A40" s="53" t="s">
        <v>157</v>
      </c>
      <c r="B40" s="26">
        <v>8043145</v>
      </c>
      <c r="C40" s="53" t="s">
        <v>157</v>
      </c>
      <c r="H40" s="26">
        <f>B40</f>
        <v>8043145</v>
      </c>
    </row>
    <row r="41" spans="1:8" ht="85.5" x14ac:dyDescent="0.25">
      <c r="A41" s="51" t="s">
        <v>73</v>
      </c>
      <c r="B41" s="23">
        <f>1482000+6087237+950000+650000</f>
        <v>9169237</v>
      </c>
      <c r="C41" s="52" t="s">
        <v>164</v>
      </c>
      <c r="D41" s="23"/>
      <c r="E41" s="23">
        <v>6087237</v>
      </c>
      <c r="F41" s="23"/>
      <c r="G41" s="23"/>
      <c r="H41" s="23">
        <f>1482000+950000+650000</f>
        <v>3082000</v>
      </c>
    </row>
    <row r="42" spans="1:8" ht="28.5" x14ac:dyDescent="0.25">
      <c r="A42" s="51" t="s">
        <v>74</v>
      </c>
      <c r="B42" s="29">
        <f>89570+50000+20000</f>
        <v>159570</v>
      </c>
      <c r="C42" s="52" t="s">
        <v>75</v>
      </c>
      <c r="D42" s="29"/>
      <c r="E42" s="29">
        <v>89570</v>
      </c>
      <c r="F42" s="29">
        <v>50000</v>
      </c>
      <c r="G42" s="29">
        <v>20000</v>
      </c>
      <c r="H42" s="29"/>
    </row>
    <row r="43" spans="1:8" x14ac:dyDescent="0.25">
      <c r="A43" s="44" t="s">
        <v>103</v>
      </c>
      <c r="B43" s="54">
        <f>SUM(B15:B42)</f>
        <v>57758140</v>
      </c>
      <c r="D43" s="37">
        <f>SUM(D15:D42)</f>
        <v>20020518</v>
      </c>
      <c r="E43" s="37">
        <f>SUM(E15:E42)</f>
        <v>22325253</v>
      </c>
      <c r="F43" s="37">
        <f>SUM(F15:F42)</f>
        <v>900000</v>
      </c>
      <c r="G43" s="37">
        <f>SUM(G15:G42)</f>
        <v>1699124</v>
      </c>
      <c r="H43" s="37">
        <f>SUM(H15:H42)</f>
        <v>12813245</v>
      </c>
    </row>
    <row r="44" spans="1:8" x14ac:dyDescent="0.25">
      <c r="A44" s="44" t="s">
        <v>102</v>
      </c>
      <c r="B44" s="30">
        <f>B14-B43</f>
        <v>7241860</v>
      </c>
      <c r="C44" s="41"/>
      <c r="D44" s="40"/>
      <c r="E44" s="40"/>
      <c r="F44" s="40"/>
      <c r="G44" s="40"/>
      <c r="H44" s="40"/>
    </row>
    <row r="45" spans="1:8" x14ac:dyDescent="0.25">
      <c r="A45" s="55"/>
      <c r="C45" s="41"/>
    </row>
    <row r="46" spans="1:8" ht="16.5" x14ac:dyDescent="0.25">
      <c r="A46" s="49" t="s">
        <v>148</v>
      </c>
      <c r="B46" s="30"/>
      <c r="C46" s="41"/>
    </row>
    <row r="47" spans="1:8" x14ac:dyDescent="0.25">
      <c r="A47" s="46" t="s">
        <v>151</v>
      </c>
      <c r="B47" s="30">
        <v>40000000</v>
      </c>
      <c r="C47" s="41"/>
    </row>
    <row r="48" spans="1:8" x14ac:dyDescent="0.25">
      <c r="A48" s="50" t="s">
        <v>139</v>
      </c>
      <c r="B48" s="26">
        <v>1834900</v>
      </c>
      <c r="C48" s="24" t="s">
        <v>42</v>
      </c>
      <c r="D48" s="26">
        <v>1834900</v>
      </c>
    </row>
    <row r="49" spans="1:8" x14ac:dyDescent="0.25">
      <c r="A49" s="50" t="s">
        <v>60</v>
      </c>
      <c r="B49" s="26">
        <v>3200000</v>
      </c>
      <c r="C49" s="24" t="s">
        <v>42</v>
      </c>
      <c r="D49" s="26">
        <v>3200000</v>
      </c>
    </row>
    <row r="50" spans="1:8" x14ac:dyDescent="0.25">
      <c r="A50" s="51" t="s">
        <v>39</v>
      </c>
      <c r="B50" s="26">
        <v>82006</v>
      </c>
      <c r="C50" s="24" t="s">
        <v>42</v>
      </c>
      <c r="D50" s="26">
        <v>82006</v>
      </c>
    </row>
    <row r="51" spans="1:8" x14ac:dyDescent="0.25">
      <c r="A51" s="50" t="s">
        <v>61</v>
      </c>
      <c r="B51" s="23">
        <v>6211811</v>
      </c>
      <c r="C51" s="24" t="s">
        <v>42</v>
      </c>
      <c r="D51" s="23">
        <v>6211811</v>
      </c>
      <c r="E51" s="23"/>
      <c r="F51" s="23"/>
      <c r="G51" s="23"/>
      <c r="H51" s="23"/>
    </row>
    <row r="52" spans="1:8" x14ac:dyDescent="0.25">
      <c r="A52" s="51" t="s">
        <v>79</v>
      </c>
      <c r="B52" s="29">
        <v>300000</v>
      </c>
      <c r="C52" s="24" t="s">
        <v>42</v>
      </c>
      <c r="D52" s="29">
        <v>300000</v>
      </c>
    </row>
    <row r="53" spans="1:8" x14ac:dyDescent="0.25">
      <c r="A53" s="46" t="s">
        <v>149</v>
      </c>
      <c r="B53" s="59">
        <f>SUM(B48:B52)</f>
        <v>11628717</v>
      </c>
      <c r="D53" s="30">
        <f>SUM(D48:D52)</f>
        <v>11628717</v>
      </c>
    </row>
    <row r="54" spans="1:8" x14ac:dyDescent="0.25">
      <c r="A54" s="46" t="s">
        <v>150</v>
      </c>
      <c r="B54" s="30">
        <f>B47-B53</f>
        <v>28371283</v>
      </c>
      <c r="D54" s="30"/>
    </row>
    <row r="55" spans="1:8" x14ac:dyDescent="0.25">
      <c r="A55" s="44"/>
      <c r="B55" s="30"/>
      <c r="C55" s="41"/>
    </row>
    <row r="56" spans="1:8" ht="16.5" x14ac:dyDescent="0.25">
      <c r="A56" s="49" t="s">
        <v>104</v>
      </c>
      <c r="B56" s="30"/>
      <c r="C56" s="41"/>
      <c r="D56" s="23"/>
      <c r="E56" s="23"/>
      <c r="F56" s="23"/>
      <c r="G56" s="23"/>
      <c r="H56" s="23"/>
    </row>
    <row r="57" spans="1:8" ht="29.25" x14ac:dyDescent="0.25">
      <c r="A57" s="46" t="s">
        <v>106</v>
      </c>
      <c r="B57" s="30">
        <v>45000000</v>
      </c>
      <c r="C57" s="24" t="s">
        <v>114</v>
      </c>
      <c r="D57" s="23"/>
      <c r="E57" s="23"/>
      <c r="F57" s="23"/>
      <c r="G57" s="23"/>
      <c r="H57" s="23"/>
    </row>
    <row r="58" spans="1:8" x14ac:dyDescent="0.25">
      <c r="A58" s="50" t="s">
        <v>105</v>
      </c>
      <c r="B58" s="28">
        <v>3599301.75</v>
      </c>
      <c r="C58" s="41"/>
    </row>
    <row r="59" spans="1:8" x14ac:dyDescent="0.25">
      <c r="A59" s="44" t="s">
        <v>107</v>
      </c>
      <c r="B59" s="30">
        <f>B57-B58</f>
        <v>41400698.25</v>
      </c>
      <c r="C59" s="41"/>
      <c r="D59" s="23"/>
      <c r="E59" s="23"/>
      <c r="F59" s="23"/>
      <c r="G59" s="23"/>
      <c r="H59" s="23"/>
    </row>
    <row r="60" spans="1:8" x14ac:dyDescent="0.25">
      <c r="A60" s="55"/>
      <c r="B60" s="23"/>
      <c r="C60" s="41"/>
      <c r="D60" s="23"/>
      <c r="E60" s="23"/>
      <c r="F60" s="23"/>
      <c r="G60" s="23"/>
      <c r="H60" s="23"/>
    </row>
    <row r="61" spans="1:8" ht="16.5" x14ac:dyDescent="0.25">
      <c r="A61" s="49" t="s">
        <v>146</v>
      </c>
      <c r="B61" s="23"/>
      <c r="C61" s="41"/>
      <c r="D61" s="23"/>
      <c r="E61" s="23"/>
      <c r="F61" s="23"/>
      <c r="G61" s="23"/>
      <c r="H61" s="23"/>
    </row>
    <row r="62" spans="1:8" x14ac:dyDescent="0.25">
      <c r="A62" s="50" t="s">
        <v>159</v>
      </c>
      <c r="B62" s="23">
        <v>10000000</v>
      </c>
      <c r="C62" s="41"/>
      <c r="D62" s="23"/>
      <c r="E62" s="23"/>
      <c r="F62" s="23"/>
      <c r="G62" s="23"/>
      <c r="H62" s="23"/>
    </row>
    <row r="63" spans="1:8" x14ac:dyDescent="0.25">
      <c r="A63" s="50" t="s">
        <v>105</v>
      </c>
      <c r="B63" s="29"/>
      <c r="C63" s="41"/>
      <c r="D63" s="23"/>
      <c r="E63" s="23"/>
      <c r="F63" s="23"/>
      <c r="G63" s="23"/>
      <c r="H63" s="23"/>
    </row>
    <row r="64" spans="1:8" x14ac:dyDescent="0.25">
      <c r="A64" s="58" t="s">
        <v>147</v>
      </c>
      <c r="B64" s="30">
        <f>B62-B63</f>
        <v>10000000</v>
      </c>
      <c r="C64" s="41"/>
      <c r="D64" s="23"/>
      <c r="E64" s="23"/>
      <c r="F64" s="23"/>
      <c r="G64" s="23"/>
      <c r="H64" s="23"/>
    </row>
    <row r="65" spans="1:8" x14ac:dyDescent="0.25">
      <c r="A65" s="55"/>
      <c r="B65" s="23"/>
      <c r="C65" s="41"/>
      <c r="D65" s="23"/>
      <c r="E65" s="23"/>
      <c r="F65" s="23"/>
      <c r="G65" s="23"/>
      <c r="H65" s="23"/>
    </row>
    <row r="66" spans="1:8" ht="16.5" x14ac:dyDescent="0.25">
      <c r="A66" s="49" t="s">
        <v>117</v>
      </c>
      <c r="B66" s="30"/>
    </row>
    <row r="67" spans="1:8" ht="43.5" x14ac:dyDescent="0.25">
      <c r="A67" s="46" t="s">
        <v>118</v>
      </c>
      <c r="B67" s="30">
        <v>12662200</v>
      </c>
      <c r="C67" s="24" t="s">
        <v>115</v>
      </c>
    </row>
    <row r="68" spans="1:8" ht="28.5" x14ac:dyDescent="0.25">
      <c r="A68" s="51" t="s">
        <v>41</v>
      </c>
      <c r="B68" s="23">
        <v>249243</v>
      </c>
      <c r="C68" s="41" t="s">
        <v>166</v>
      </c>
      <c r="H68" s="26">
        <v>249243</v>
      </c>
    </row>
    <row r="69" spans="1:8" ht="28.5" x14ac:dyDescent="0.25">
      <c r="A69" s="51" t="s">
        <v>142</v>
      </c>
      <c r="B69" s="23">
        <f>1646755+1171865</f>
        <v>2818620</v>
      </c>
      <c r="C69" s="52" t="s">
        <v>167</v>
      </c>
      <c r="D69" s="23"/>
      <c r="E69" s="23"/>
      <c r="F69" s="23"/>
      <c r="G69" s="23"/>
      <c r="H69" s="23">
        <f>1646755+1171865</f>
        <v>2818620</v>
      </c>
    </row>
    <row r="70" spans="1:8" x14ac:dyDescent="0.25">
      <c r="A70" s="51" t="s">
        <v>176</v>
      </c>
      <c r="B70" s="29">
        <v>9594337</v>
      </c>
      <c r="C70" s="52"/>
      <c r="D70" s="23"/>
      <c r="E70" s="23"/>
      <c r="F70" s="23"/>
      <c r="G70" s="23"/>
      <c r="H70" s="23">
        <v>9594337</v>
      </c>
    </row>
    <row r="71" spans="1:8" x14ac:dyDescent="0.25">
      <c r="A71" s="46" t="s">
        <v>168</v>
      </c>
      <c r="B71" s="59">
        <f>SUM(B68:B70)</f>
        <v>12662200</v>
      </c>
      <c r="C71" s="52"/>
      <c r="D71" s="23"/>
      <c r="E71" s="23"/>
      <c r="F71" s="23"/>
      <c r="G71" s="23"/>
      <c r="H71" s="23"/>
    </row>
    <row r="72" spans="1:8" x14ac:dyDescent="0.25">
      <c r="A72" s="44" t="s">
        <v>107</v>
      </c>
      <c r="B72" s="30">
        <f>B67-B71</f>
        <v>0</v>
      </c>
      <c r="C72" s="41"/>
      <c r="D72" s="23"/>
      <c r="E72" s="23"/>
      <c r="F72" s="23"/>
      <c r="G72" s="23"/>
      <c r="H72" s="23"/>
    </row>
    <row r="73" spans="1:8" x14ac:dyDescent="0.25">
      <c r="A73" s="55"/>
      <c r="B73" s="23"/>
      <c r="C73" s="41"/>
      <c r="D73" s="23"/>
      <c r="E73" s="23"/>
      <c r="F73" s="23"/>
      <c r="G73" s="23"/>
      <c r="H73" s="23"/>
    </row>
    <row r="74" spans="1:8" x14ac:dyDescent="0.25">
      <c r="B74" s="23"/>
      <c r="C74" s="41"/>
      <c r="D74" s="23"/>
      <c r="E74" s="23"/>
      <c r="F74" s="23"/>
      <c r="G74" s="23"/>
      <c r="H74" s="23"/>
    </row>
    <row r="75" spans="1:8" x14ac:dyDescent="0.25">
      <c r="B75" s="23"/>
      <c r="C75" s="41"/>
      <c r="D75" s="23"/>
      <c r="E75" s="23"/>
      <c r="F75" s="23"/>
      <c r="G75" s="23"/>
      <c r="H75" s="23"/>
    </row>
    <row r="76" spans="1:8" x14ac:dyDescent="0.25">
      <c r="A76" s="55"/>
      <c r="B76" s="23"/>
      <c r="C76" s="41"/>
      <c r="D76" s="23"/>
      <c r="E76" s="23"/>
      <c r="F76" s="23"/>
      <c r="G76" s="23"/>
      <c r="H76" s="23"/>
    </row>
    <row r="77" spans="1:8" x14ac:dyDescent="0.25">
      <c r="C77" s="41"/>
    </row>
    <row r="78" spans="1:8" x14ac:dyDescent="0.25">
      <c r="C78" s="41"/>
    </row>
    <row r="79" spans="1:8" x14ac:dyDescent="0.25">
      <c r="A79" s="55"/>
      <c r="B79" s="23"/>
      <c r="C79" s="41"/>
      <c r="D79" s="23"/>
      <c r="E79" s="23"/>
      <c r="F79" s="23"/>
      <c r="G79" s="23"/>
      <c r="H79" s="23"/>
    </row>
    <row r="80" spans="1:8" x14ac:dyDescent="0.25">
      <c r="A80" s="55"/>
      <c r="B80" s="23"/>
      <c r="C80" s="41"/>
      <c r="D80" s="23"/>
      <c r="E80" s="23"/>
      <c r="F80" s="23"/>
      <c r="G80" s="23"/>
      <c r="H80" s="23"/>
    </row>
    <row r="81" spans="1:8" x14ac:dyDescent="0.25">
      <c r="A81" s="55"/>
      <c r="B81" s="23"/>
      <c r="C81" s="41"/>
      <c r="D81" s="23"/>
      <c r="E81" s="23"/>
      <c r="F81" s="23"/>
      <c r="G81" s="23"/>
      <c r="H81" s="23"/>
    </row>
    <row r="82" spans="1:8" x14ac:dyDescent="0.25">
      <c r="C82" s="41"/>
    </row>
    <row r="84" spans="1:8" x14ac:dyDescent="0.25">
      <c r="A84" s="44"/>
      <c r="B84" s="35"/>
      <c r="D84" s="35"/>
      <c r="E84" s="35"/>
      <c r="F84" s="35"/>
      <c r="G84" s="35"/>
      <c r="H84" s="35"/>
    </row>
    <row r="86" spans="1:8" x14ac:dyDescent="0.25">
      <c r="C86" s="56"/>
    </row>
    <row r="87" spans="1:8" x14ac:dyDescent="0.25">
      <c r="C87" s="56"/>
    </row>
    <row r="88" spans="1:8" x14ac:dyDescent="0.25">
      <c r="C88" s="56"/>
    </row>
    <row r="89" spans="1:8" x14ac:dyDescent="0.25">
      <c r="C89" s="56"/>
    </row>
    <row r="90" spans="1:8" x14ac:dyDescent="0.25">
      <c r="B90" s="35"/>
      <c r="C90" s="57"/>
      <c r="D90" s="35"/>
      <c r="E90" s="35"/>
      <c r="F90" s="35"/>
      <c r="G90" s="35"/>
      <c r="H90" s="35"/>
    </row>
    <row r="91" spans="1:8" x14ac:dyDescent="0.25">
      <c r="A91" s="44"/>
      <c r="C91" s="57"/>
    </row>
    <row r="92" spans="1:8" x14ac:dyDescent="0.25">
      <c r="C92" s="57"/>
    </row>
    <row r="96" spans="1:8" x14ac:dyDescent="0.25">
      <c r="B96" s="35"/>
      <c r="D96" s="35"/>
      <c r="E96" s="35"/>
      <c r="F96" s="35"/>
      <c r="G96" s="35"/>
      <c r="H96" s="35"/>
    </row>
  </sheetData>
  <printOptions gridLines="1"/>
  <pageMargins left="0.2" right="0.2" top="0.25" bottom="0.25" header="0.3" footer="0.3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2F0CD-ECDF-47D4-9E8B-5F07985733CC}">
  <dimension ref="A1:A13"/>
  <sheetViews>
    <sheetView workbookViewId="0">
      <selection activeCell="A9" sqref="A9"/>
    </sheetView>
  </sheetViews>
  <sheetFormatPr defaultColWidth="9.140625" defaultRowHeight="14.25" x14ac:dyDescent="0.2"/>
  <cols>
    <col min="1" max="16384" width="9.140625" style="1"/>
  </cols>
  <sheetData>
    <row r="1" spans="1:1" ht="15" x14ac:dyDescent="0.2">
      <c r="A1" s="33" t="s">
        <v>84</v>
      </c>
    </row>
    <row r="2" spans="1:1" ht="15" x14ac:dyDescent="0.25">
      <c r="A2" s="22" t="s">
        <v>88</v>
      </c>
    </row>
    <row r="3" spans="1:1" ht="15" x14ac:dyDescent="0.25">
      <c r="A3" s="22"/>
    </row>
    <row r="4" spans="1:1" ht="15" x14ac:dyDescent="0.2">
      <c r="A4" s="32" t="s">
        <v>87</v>
      </c>
    </row>
    <row r="5" spans="1:1" x14ac:dyDescent="0.2">
      <c r="A5" s="32"/>
    </row>
    <row r="6" spans="1:1" ht="15" x14ac:dyDescent="0.2">
      <c r="A6" s="33" t="s">
        <v>85</v>
      </c>
    </row>
    <row r="7" spans="1:1" x14ac:dyDescent="0.2">
      <c r="A7" s="32" t="s">
        <v>133</v>
      </c>
    </row>
    <row r="8" spans="1:1" x14ac:dyDescent="0.2">
      <c r="A8" s="32" t="s">
        <v>169</v>
      </c>
    </row>
    <row r="9" spans="1:1" x14ac:dyDescent="0.2">
      <c r="A9" s="32" t="s">
        <v>135</v>
      </c>
    </row>
    <row r="10" spans="1:1" x14ac:dyDescent="0.2">
      <c r="A10" s="32" t="s">
        <v>134</v>
      </c>
    </row>
    <row r="11" spans="1:1" x14ac:dyDescent="0.2">
      <c r="A11" s="32" t="s">
        <v>137</v>
      </c>
    </row>
    <row r="12" spans="1:1" x14ac:dyDescent="0.2">
      <c r="A12" s="32" t="s">
        <v>136</v>
      </c>
    </row>
    <row r="13" spans="1:1" x14ac:dyDescent="0.2">
      <c r="A13" s="32" t="s">
        <v>86</v>
      </c>
    </row>
  </sheetData>
  <pageMargins left="0.45" right="0.45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WKY</vt:lpstr>
      <vt:lpstr>EKY</vt:lpstr>
      <vt:lpstr>Denied</vt:lpstr>
      <vt:lpstr>EKY!Print_Titles</vt:lpstr>
      <vt:lpstr>WKY!Print_Titles</vt:lpstr>
    </vt:vector>
  </TitlesOfParts>
  <Company>Commonwealth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John.Hicks</dc:creator>
  <cp:lastModifiedBy>John.Hicks</cp:lastModifiedBy>
  <cp:lastPrinted>2023-03-23T14:06:26Z</cp:lastPrinted>
  <dcterms:created xsi:type="dcterms:W3CDTF">2022-02-14T17:49:56Z</dcterms:created>
  <dcterms:modified xsi:type="dcterms:W3CDTF">2023-05-12T14:09:58Z</dcterms:modified>
</cp:coreProperties>
</file>